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serFiles\Behrang\Building_Inventory\Exposure_Reports\R8\"/>
    </mc:Choice>
  </mc:AlternateContent>
  <xr:revisionPtr revIDLastSave="0" documentId="13_ncr:1_{EE8EEEE2-D6D1-4183-BF42-8B5CE07E5938}" xr6:coauthVersionLast="44" xr6:coauthVersionMax="44" xr10:uidLastSave="{00000000-0000-0000-0000-000000000000}"/>
  <bookViews>
    <workbookView xWindow="-108" yWindow="-108" windowWidth="23256" windowHeight="12576" tabRatio="735" xr2:uid="{00000000-000D-0000-FFFF-FFFF00000000}"/>
  </bookViews>
  <sheets>
    <sheet name="GRANT" sheetId="28" r:id="rId1"/>
    <sheet name="HAMPSHIRE" sheetId="29" r:id="rId2"/>
    <sheet name="HARDY" sheetId="30" r:id="rId3"/>
    <sheet name="MINERAL" sheetId="31" r:id="rId4"/>
    <sheet name="PENDLETON" sheetId="32" r:id="rId5"/>
    <sheet name="MINERAL (NON_RES &gt; 500K)" sheetId="33" r:id="rId6"/>
  </sheets>
  <definedNames>
    <definedName name="_xlnm._FilterDatabase" localSheetId="5" hidden="1">'MINERAL (NON_RES &gt; 500K)'!$B$2:$G$21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1" i="33" l="1"/>
  <c r="C20" i="33"/>
  <c r="C19" i="33"/>
  <c r="C18" i="33"/>
  <c r="C17" i="33"/>
  <c r="C16" i="33"/>
  <c r="C15" i="33"/>
  <c r="C14" i="33"/>
  <c r="C13" i="33"/>
  <c r="C12" i="33"/>
  <c r="C11" i="33"/>
  <c r="C10" i="33"/>
  <c r="C9" i="33"/>
  <c r="C8" i="33"/>
  <c r="C7" i="33"/>
  <c r="C6" i="33"/>
  <c r="C5" i="33"/>
  <c r="C4" i="33"/>
  <c r="C3" i="33"/>
  <c r="F7" i="32" l="1"/>
  <c r="F8" i="32"/>
  <c r="F9" i="32"/>
  <c r="F10" i="32"/>
  <c r="F11" i="32"/>
  <c r="F12" i="32"/>
  <c r="F13" i="32"/>
  <c r="F14" i="32"/>
  <c r="F15" i="32"/>
  <c r="F16" i="32"/>
  <c r="F17" i="32"/>
  <c r="F18" i="32"/>
  <c r="F19" i="32"/>
  <c r="F20" i="32"/>
  <c r="F21" i="32"/>
  <c r="F22" i="32"/>
  <c r="F23" i="32"/>
  <c r="F24" i="32"/>
  <c r="F25" i="32"/>
  <c r="F26" i="32"/>
  <c r="F27" i="32"/>
  <c r="F28" i="32"/>
  <c r="F29" i="32"/>
  <c r="F30" i="32"/>
  <c r="F31" i="32"/>
  <c r="F32" i="32"/>
  <c r="F33" i="32"/>
  <c r="F34" i="32"/>
  <c r="F35" i="32"/>
  <c r="F36" i="32"/>
  <c r="F37" i="32"/>
  <c r="F38" i="32"/>
  <c r="F39" i="32"/>
  <c r="F40" i="32"/>
  <c r="F41" i="32"/>
  <c r="F42" i="32"/>
  <c r="F43" i="32"/>
  <c r="F44" i="32"/>
  <c r="F45" i="32"/>
  <c r="F46" i="32"/>
  <c r="F7" i="31"/>
  <c r="F8" i="31"/>
  <c r="F9" i="31"/>
  <c r="F10" i="31"/>
  <c r="F11" i="31"/>
  <c r="F12" i="31"/>
  <c r="F13" i="31"/>
  <c r="F14" i="31"/>
  <c r="F15" i="31"/>
  <c r="F16" i="31"/>
  <c r="F17" i="31"/>
  <c r="F18" i="31"/>
  <c r="F19" i="31"/>
  <c r="F20" i="31"/>
  <c r="F21" i="31"/>
  <c r="F22" i="31"/>
  <c r="F23" i="31"/>
  <c r="F24" i="31"/>
  <c r="F25" i="31"/>
  <c r="F26" i="31"/>
  <c r="F27" i="31"/>
  <c r="F28" i="31"/>
  <c r="F29" i="31"/>
  <c r="F30" i="31"/>
  <c r="F31" i="31"/>
  <c r="F32" i="31"/>
  <c r="F33" i="31"/>
  <c r="F34" i="31"/>
  <c r="F35" i="31"/>
  <c r="F36" i="31"/>
  <c r="F37" i="31"/>
  <c r="F38" i="31"/>
  <c r="F39" i="31"/>
  <c r="F40" i="31"/>
  <c r="F41" i="31"/>
  <c r="F42" i="31"/>
  <c r="F43" i="31"/>
  <c r="F44" i="31"/>
  <c r="F45" i="31"/>
  <c r="F46" i="31"/>
  <c r="F47" i="31"/>
  <c r="F48" i="31"/>
  <c r="F49" i="31"/>
  <c r="F50" i="31"/>
  <c r="F51" i="31"/>
  <c r="F52" i="31"/>
  <c r="F53" i="31"/>
  <c r="F54" i="31"/>
  <c r="F55" i="31"/>
  <c r="F56" i="31"/>
  <c r="F57" i="31"/>
  <c r="F58" i="31"/>
  <c r="F59" i="31"/>
  <c r="F60" i="31"/>
  <c r="F61" i="31"/>
  <c r="F62" i="31"/>
  <c r="F63" i="31"/>
  <c r="F64" i="31"/>
  <c r="F65" i="31"/>
  <c r="F66" i="31"/>
  <c r="F67" i="31"/>
  <c r="F68" i="31"/>
  <c r="F10" i="30"/>
  <c r="F7" i="30"/>
  <c r="F8" i="30"/>
  <c r="F9" i="30"/>
  <c r="F11" i="30"/>
  <c r="F12" i="30"/>
  <c r="F13" i="30"/>
  <c r="F14" i="30"/>
  <c r="F15" i="30"/>
  <c r="F16" i="30"/>
  <c r="F17" i="30"/>
  <c r="F18" i="30"/>
  <c r="F19" i="30"/>
  <c r="F20" i="30"/>
  <c r="F21" i="30"/>
  <c r="F22" i="30"/>
  <c r="F23" i="30"/>
  <c r="F24" i="30"/>
  <c r="F25" i="30"/>
  <c r="F26" i="30"/>
  <c r="F27" i="30"/>
  <c r="F28" i="30"/>
  <c r="F29" i="30"/>
  <c r="F30" i="30"/>
  <c r="F31" i="30"/>
  <c r="F32" i="30"/>
  <c r="F33" i="30"/>
  <c r="F34" i="30"/>
  <c r="F35" i="30"/>
  <c r="F36" i="30"/>
  <c r="F37" i="30"/>
  <c r="F38" i="30"/>
  <c r="F39" i="30"/>
  <c r="F40" i="30"/>
  <c r="F41" i="30"/>
  <c r="F42" i="30"/>
  <c r="F43" i="30"/>
  <c r="F7" i="29"/>
  <c r="F8" i="29"/>
  <c r="F9" i="29"/>
  <c r="F10" i="29"/>
  <c r="F11" i="29"/>
  <c r="F12" i="29"/>
  <c r="F13" i="29"/>
  <c r="F14" i="29"/>
  <c r="F15" i="29"/>
  <c r="F16" i="29"/>
  <c r="F17" i="29"/>
  <c r="F18" i="29"/>
  <c r="F19" i="29"/>
  <c r="F20" i="29"/>
  <c r="F21" i="29"/>
  <c r="F22" i="29"/>
  <c r="F23" i="29"/>
  <c r="F24" i="29"/>
  <c r="F25" i="29"/>
  <c r="F26" i="29"/>
  <c r="F27" i="29"/>
  <c r="F28" i="29"/>
  <c r="F29" i="29"/>
  <c r="F30" i="29"/>
  <c r="F31" i="29"/>
  <c r="F32" i="29"/>
  <c r="F33" i="29"/>
  <c r="F34" i="29"/>
  <c r="F35" i="29"/>
  <c r="F36" i="29"/>
  <c r="F37" i="29"/>
  <c r="F38" i="29"/>
  <c r="F39" i="29"/>
  <c r="F40" i="29"/>
  <c r="F41" i="29"/>
  <c r="F42" i="29"/>
  <c r="F43" i="29"/>
  <c r="F44" i="29"/>
  <c r="F45" i="29"/>
  <c r="F46" i="29"/>
  <c r="F47" i="29"/>
  <c r="F48" i="29"/>
  <c r="F49" i="29"/>
  <c r="F50" i="29"/>
  <c r="F7" i="28" l="1"/>
  <c r="F8" i="28"/>
  <c r="F9" i="28"/>
  <c r="F10" i="28"/>
  <c r="F11" i="28"/>
  <c r="F12" i="28"/>
  <c r="F13" i="28"/>
  <c r="F14" i="28"/>
  <c r="F15" i="28"/>
  <c r="F16" i="28"/>
  <c r="F17" i="28"/>
  <c r="F18" i="28"/>
  <c r="F19" i="28"/>
  <c r="F20" i="28"/>
  <c r="F21" i="28"/>
  <c r="F22" i="28"/>
  <c r="F23" i="28"/>
  <c r="F24" i="28"/>
  <c r="F25" i="28"/>
  <c r="F26" i="28"/>
  <c r="F27" i="28"/>
  <c r="F28" i="28"/>
  <c r="F29" i="28"/>
  <c r="F30" i="28"/>
  <c r="F31" i="28"/>
  <c r="F32" i="28"/>
  <c r="F33" i="28"/>
  <c r="F34" i="28"/>
  <c r="F35" i="28"/>
  <c r="F36" i="28"/>
  <c r="F37" i="28"/>
  <c r="F38" i="28"/>
  <c r="F39" i="28"/>
  <c r="F40" i="28"/>
  <c r="F41" i="28"/>
  <c r="F42" i="28"/>
  <c r="F43" i="28"/>
  <c r="F44" i="28"/>
  <c r="F45" i="28"/>
  <c r="F46" i="28"/>
  <c r="F47" i="28"/>
  <c r="F48" i="28"/>
  <c r="F49" i="28"/>
  <c r="F50" i="28"/>
  <c r="F51" i="28"/>
  <c r="F52" i="28"/>
  <c r="F53" i="28"/>
  <c r="F54" i="28"/>
  <c r="F55" i="28"/>
  <c r="F56" i="28"/>
  <c r="F57" i="28"/>
  <c r="F58" i="28"/>
  <c r="F59" i="28"/>
</calcChain>
</file>

<file path=xl/sharedStrings.xml><?xml version="1.0" encoding="utf-8"?>
<sst xmlns="http://schemas.openxmlformats.org/spreadsheetml/2006/main" count="4479" uniqueCount="1332">
  <si>
    <t>Building ID</t>
  </si>
  <si>
    <t>Community Name</t>
  </si>
  <si>
    <t>Stream Name</t>
  </si>
  <si>
    <t>GIS Parcel ID</t>
  </si>
  <si>
    <t>Full E-911 Address</t>
  </si>
  <si>
    <t>WV Flood Tool Link</t>
  </si>
  <si>
    <t>Flood Zone Designation</t>
  </si>
  <si>
    <t>Floodway</t>
  </si>
  <si>
    <t>Owner Names</t>
  </si>
  <si>
    <t>FIRM Status</t>
  </si>
  <si>
    <t>Year Built</t>
  </si>
  <si>
    <t>Grade</t>
  </si>
  <si>
    <t>Hazard Occupancy Code</t>
  </si>
  <si>
    <t>General Occupancy</t>
  </si>
  <si>
    <t>Stories</t>
  </si>
  <si>
    <t>Structure Area</t>
  </si>
  <si>
    <t>Foundation Type</t>
  </si>
  <si>
    <t>First Floor Height</t>
  </si>
  <si>
    <t>Building Appraisal</t>
  </si>
  <si>
    <t>Building Value Source</t>
  </si>
  <si>
    <t>Depth Grid</t>
  </si>
  <si>
    <t>Depth in Structure</t>
  </si>
  <si>
    <t>Building Damage Percent</t>
  </si>
  <si>
    <t>Building Loss Value</t>
  </si>
  <si>
    <t>No</t>
  </si>
  <si>
    <t>Post-FIRM</t>
  </si>
  <si>
    <t>C</t>
  </si>
  <si>
    <t>GOV1</t>
  </si>
  <si>
    <t>Other</t>
  </si>
  <si>
    <t>Slab-on-Grade</t>
  </si>
  <si>
    <t>Assessment (IAS) Modified</t>
  </si>
  <si>
    <t>AE</t>
  </si>
  <si>
    <t>D-</t>
  </si>
  <si>
    <t>IND2</t>
  </si>
  <si>
    <t>Commercial</t>
  </si>
  <si>
    <t>Unknown</t>
  </si>
  <si>
    <t>D+</t>
  </si>
  <si>
    <t>A</t>
  </si>
  <si>
    <t>Pre-FIRM</t>
  </si>
  <si>
    <t>RES1</t>
  </si>
  <si>
    <t>Residential</t>
  </si>
  <si>
    <t>Basement</t>
  </si>
  <si>
    <t>Assessment (IAS)</t>
  </si>
  <si>
    <t>B</t>
  </si>
  <si>
    <t>B-</t>
  </si>
  <si>
    <t>COM1</t>
  </si>
  <si>
    <t>A-</t>
  </si>
  <si>
    <t>C-</t>
  </si>
  <si>
    <t>B+</t>
  </si>
  <si>
    <t>COM8</t>
  </si>
  <si>
    <t>Crawlspace</t>
  </si>
  <si>
    <t>D</t>
  </si>
  <si>
    <t>Updated AE</t>
  </si>
  <si>
    <t>COM7</t>
  </si>
  <si>
    <t>COM4</t>
  </si>
  <si>
    <t>C+</t>
  </si>
  <si>
    <t>REL1</t>
  </si>
  <si>
    <t>BOARD OF EDUCATION</t>
  </si>
  <si>
    <t>EDU1</t>
  </si>
  <si>
    <t>Insurance (BRIM)</t>
  </si>
  <si>
    <t>RES4</t>
  </si>
  <si>
    <t>COM2</t>
  </si>
  <si>
    <t>GOV2</t>
  </si>
  <si>
    <t>E</t>
  </si>
  <si>
    <t xml:space="preserve">BUILDING DOLLAR ($) EXPOSURE </t>
  </si>
  <si>
    <t>MAP LINK</t>
  </si>
  <si>
    <t>FILTER OR SORT</t>
  </si>
  <si>
    <t>PRIMARY SORT</t>
  </si>
  <si>
    <t>Table Extract from BLRA</t>
  </si>
  <si>
    <t>Lookup</t>
  </si>
  <si>
    <t>Top percentage of high-value structures</t>
  </si>
  <si>
    <t>X</t>
  </si>
  <si>
    <t>2008</t>
  </si>
  <si>
    <t>1999</t>
  </si>
  <si>
    <t>0</t>
  </si>
  <si>
    <t>1978</t>
  </si>
  <si>
    <t>2005</t>
  </si>
  <si>
    <t>2010</t>
  </si>
  <si>
    <t>1970</t>
  </si>
  <si>
    <t>2006</t>
  </si>
  <si>
    <t>1997</t>
  </si>
  <si>
    <t>1960</t>
  </si>
  <si>
    <t>1996</t>
  </si>
  <si>
    <t>Education</t>
  </si>
  <si>
    <t>Government</t>
  </si>
  <si>
    <t>Religious</t>
  </si>
  <si>
    <t>Industrial</t>
  </si>
  <si>
    <t>1</t>
  </si>
  <si>
    <t>2</t>
  </si>
  <si>
    <t>1.0</t>
  </si>
  <si>
    <t>4.0</t>
  </si>
  <si>
    <t>Area (RS Means)</t>
  </si>
  <si>
    <t>2017</t>
  </si>
  <si>
    <t>1990</t>
  </si>
  <si>
    <t>1995</t>
  </si>
  <si>
    <t>2001</t>
  </si>
  <si>
    <t>1975</t>
  </si>
  <si>
    <t>1994</t>
  </si>
  <si>
    <t>1962</t>
  </si>
  <si>
    <t>2012</t>
  </si>
  <si>
    <t>2007</t>
  </si>
  <si>
    <t>2009</t>
  </si>
  <si>
    <t>1972</t>
  </si>
  <si>
    <t>COM3</t>
  </si>
  <si>
    <t>1900</t>
  </si>
  <si>
    <t>3.0</t>
  </si>
  <si>
    <t>1998</t>
  </si>
  <si>
    <t>Post-FIRM construction regulated to Pre-FIRM (Mapped into SFHA)</t>
  </si>
  <si>
    <t>1988</t>
  </si>
  <si>
    <t>(Higher than $200,000)</t>
  </si>
  <si>
    <t>(Higher than $100,000)</t>
  </si>
  <si>
    <t>2018</t>
  </si>
  <si>
    <t>1992</t>
  </si>
  <si>
    <t>Owner Name or Building ID</t>
  </si>
  <si>
    <t>New utility changes applied manually</t>
  </si>
  <si>
    <t>Big Run</t>
  </si>
  <si>
    <t>9999</t>
  </si>
  <si>
    <t>1111</t>
  </si>
  <si>
    <t>2000</t>
  </si>
  <si>
    <t>2014</t>
  </si>
  <si>
    <t>1979</t>
  </si>
  <si>
    <t>2004</t>
  </si>
  <si>
    <t>1982</t>
  </si>
  <si>
    <t>1993</t>
  </si>
  <si>
    <t>2011</t>
  </si>
  <si>
    <t>2003</t>
  </si>
  <si>
    <t>1983</t>
  </si>
  <si>
    <t>2002</t>
  </si>
  <si>
    <t>1950</t>
  </si>
  <si>
    <t>1954</t>
  </si>
  <si>
    <t>1980</t>
  </si>
  <si>
    <t>3096</t>
  </si>
  <si>
    <t>2156</t>
  </si>
  <si>
    <t>1920</t>
  </si>
  <si>
    <t>2016</t>
  </si>
  <si>
    <t>4000</t>
  </si>
  <si>
    <t>1848</t>
  </si>
  <si>
    <t>1674</t>
  </si>
  <si>
    <t>Yes</t>
  </si>
  <si>
    <t>1967</t>
  </si>
  <si>
    <t>1987</t>
  </si>
  <si>
    <t>1981</t>
  </si>
  <si>
    <t>1969</t>
  </si>
  <si>
    <t>1906</t>
  </si>
  <si>
    <t>1974</t>
  </si>
  <si>
    <t>RES3F</t>
  </si>
  <si>
    <t>RES3B</t>
  </si>
  <si>
    <t>COM5</t>
  </si>
  <si>
    <t>3</t>
  </si>
  <si>
    <t>14400</t>
  </si>
  <si>
    <t>6400</t>
  </si>
  <si>
    <t>Assessment (IAS) Neighbor</t>
  </si>
  <si>
    <t>2013</t>
  </si>
  <si>
    <t>1934</t>
  </si>
  <si>
    <t>1976</t>
  </si>
  <si>
    <t>1989</t>
  </si>
  <si>
    <t>X-</t>
  </si>
  <si>
    <t>UNITED STATES OF AMERICA</t>
  </si>
  <si>
    <t>21000</t>
  </si>
  <si>
    <t>3000</t>
  </si>
  <si>
    <t>1700</t>
  </si>
  <si>
    <t>1935</t>
  </si>
  <si>
    <t>1930</t>
  </si>
  <si>
    <t>9768</t>
  </si>
  <si>
    <t>1984</t>
  </si>
  <si>
    <t>10500</t>
  </si>
  <si>
    <t>* Unincorporated</t>
  </si>
  <si>
    <t>GRANT</t>
  </si>
  <si>
    <t>12-04-0008-0002-0000_333</t>
  </si>
  <si>
    <t>12-04-0002-0353-0000_207</t>
  </si>
  <si>
    <t>12-04-0002-0359-0000_320</t>
  </si>
  <si>
    <t>12-03-0445-0023-0000_8290</t>
  </si>
  <si>
    <t>12-03-0429-0017-0000_928</t>
  </si>
  <si>
    <t>12-03-0527-0021-0000_7231</t>
  </si>
  <si>
    <t>12-03-0465-0009-0000_10079</t>
  </si>
  <si>
    <t>12-03-0528-0002-0001_5556</t>
  </si>
  <si>
    <t>12-03-0489-0005-0000_176</t>
  </si>
  <si>
    <t>12-02-0389-0014-0002_2</t>
  </si>
  <si>
    <t>12-03-0526-0008-0000_3877</t>
  </si>
  <si>
    <t>12-03-0489-0043-0004_148</t>
  </si>
  <si>
    <t>12-03-0429-0064-0001_1516</t>
  </si>
  <si>
    <t>12-03-0429-0063-0000_1468</t>
  </si>
  <si>
    <t>12-02-0369-0030-0000_6050</t>
  </si>
  <si>
    <t>12-04-0005-0032-0000_101</t>
  </si>
  <si>
    <t>12-03-0489-0043-0006_191</t>
  </si>
  <si>
    <t>12-02-0310-0004-0000_6554</t>
  </si>
  <si>
    <t>12-03-0529-0008-0000_6028</t>
  </si>
  <si>
    <t>12-03-0508-0028-0000_5734</t>
  </si>
  <si>
    <t>12-03-0509-0031-0001_4211</t>
  </si>
  <si>
    <t>12-03-0428-0022-0000_2099</t>
  </si>
  <si>
    <t>12-03-0569-0013-0004_87</t>
  </si>
  <si>
    <t>12-04-0004-0185-0004_419</t>
  </si>
  <si>
    <t>12-03-0449-0027-0000_1022</t>
  </si>
  <si>
    <t>12-03-0489-0008-0000_1028</t>
  </si>
  <si>
    <t>12-05-0107-0047-0002_166</t>
  </si>
  <si>
    <t>12-03-0465-0001-0000_126</t>
  </si>
  <si>
    <t>12-04-0001-0227-0000_165</t>
  </si>
  <si>
    <t>12-03-0429-0017-0000_930</t>
  </si>
  <si>
    <t>12-03-0429-0089-0000_1554</t>
  </si>
  <si>
    <t>12-03-0446-0042-0000_40</t>
  </si>
  <si>
    <t>12-02-0349-0020-0007_6676</t>
  </si>
  <si>
    <t>12-02-0270-0012-0000_97</t>
  </si>
  <si>
    <t>12-02-0001-0011-0000_108</t>
  </si>
  <si>
    <t>12-03-0445-0023-0000_8256</t>
  </si>
  <si>
    <t>12-03-0510-0011-0000_272</t>
  </si>
  <si>
    <t>12-02-0270-0012-0000_143</t>
  </si>
  <si>
    <t>12-03-0488-0044-0006_2448</t>
  </si>
  <si>
    <t>12-04-0004-0185-0006_417</t>
  </si>
  <si>
    <t>12-03-0488-0044-0003_79</t>
  </si>
  <si>
    <t>12-02-0271-0005-0001_8802</t>
  </si>
  <si>
    <t>12-02-0211-0008-0001_13919</t>
  </si>
  <si>
    <t>12-02-0369-0023-0012_1256</t>
  </si>
  <si>
    <t>12-03-0448-0020-0002_2850</t>
  </si>
  <si>
    <t>12-03-0608-9999-9999_9996</t>
  </si>
  <si>
    <t>12-03-0608-9999-9999_9997</t>
  </si>
  <si>
    <t>12-03-0608-9999-9999_9999</t>
  </si>
  <si>
    <t>12-03-0608-9999-9999_9998</t>
  </si>
  <si>
    <t>12-02-0231-0016-0000_3566</t>
  </si>
  <si>
    <t>12-03-0567-0006-0000_9319</t>
  </si>
  <si>
    <t>12-03-0608-0001-0001_12510</t>
  </si>
  <si>
    <t>12-03-0465-0013-0001_21</t>
  </si>
  <si>
    <t>City of Petersburg</t>
  </si>
  <si>
    <t>Grant County</t>
  </si>
  <si>
    <t>Lunice Creek</t>
  </si>
  <si>
    <t>North Fork South Branch Potomac River</t>
  </si>
  <si>
    <t>North Mill Creek</t>
  </si>
  <si>
    <t>South Branch Potomac River</t>
  </si>
  <si>
    <t>South Mill Creek</t>
  </si>
  <si>
    <t>North Fork Lunice Creek</t>
  </si>
  <si>
    <t>Patterson Creek</t>
  </si>
  <si>
    <t>Hoglan Run</t>
  </si>
  <si>
    <t>Abram Creek</t>
  </si>
  <si>
    <t>Brushy Run</t>
  </si>
  <si>
    <t>12-04-0008-0002-0000</t>
  </si>
  <si>
    <t>12-04-0002-0353-0000</t>
  </si>
  <si>
    <t>12-04-0002-0359-0000</t>
  </si>
  <si>
    <t>12-03-0445-0023-0000</t>
  </si>
  <si>
    <t>12-03-0429-0017-0000</t>
  </si>
  <si>
    <t>12-03-0527-0021-0000</t>
  </si>
  <si>
    <t>12-03-0465-0009-0000</t>
  </si>
  <si>
    <t>12-03-0528-0002-0001</t>
  </si>
  <si>
    <t>12-03-0489-0005-0000</t>
  </si>
  <si>
    <t>12-02-0389-0014-0002</t>
  </si>
  <si>
    <t>12-03-0526-0008-0000</t>
  </si>
  <si>
    <t>12-03-0489-0043-0004</t>
  </si>
  <si>
    <t>12-03-0429-0064-0001</t>
  </si>
  <si>
    <t>12-03-0429-0063-0000</t>
  </si>
  <si>
    <t>12-02-0369-0030-0000</t>
  </si>
  <si>
    <t>12-04-0005-0032-0000</t>
  </si>
  <si>
    <t>12-03-0489-0043-0006</t>
  </si>
  <si>
    <t>12-02-0310-0004-0000</t>
  </si>
  <si>
    <t>12-03-0529-0008-0000</t>
  </si>
  <si>
    <t>12-03-0508-0028-0000</t>
  </si>
  <si>
    <t>12-03-0509-0031-0001</t>
  </si>
  <si>
    <t>12-03-0428-0022-0000</t>
  </si>
  <si>
    <t>12-03-0569-0013-0004</t>
  </si>
  <si>
    <t>12-04-0004-0185-0004</t>
  </si>
  <si>
    <t>12-03-0449-0027-0000</t>
  </si>
  <si>
    <t>12-03-0489-0008-0000</t>
  </si>
  <si>
    <t>12-05-0107-0047-0002</t>
  </si>
  <si>
    <t>12-03-0465-0001-0000</t>
  </si>
  <si>
    <t>12-04-0001-0227-0000</t>
  </si>
  <si>
    <t>12-03-0429-0089-0000</t>
  </si>
  <si>
    <t>12-03-0446-0042-0000</t>
  </si>
  <si>
    <t>12-02-0349-0020-0007</t>
  </si>
  <si>
    <t>12-02-0270-0012-0000</t>
  </si>
  <si>
    <t>12-02-0001-0011-0000</t>
  </si>
  <si>
    <t>12-03-0510-0011-0000</t>
  </si>
  <si>
    <t>12-03-0488-0044-0006</t>
  </si>
  <si>
    <t>12-04-0004-0185-0006</t>
  </si>
  <si>
    <t>12-03-0488-0044-0003</t>
  </si>
  <si>
    <t>12-02-0271-0005-0001</t>
  </si>
  <si>
    <t>12-02-0211-0008-0001</t>
  </si>
  <si>
    <t>12-02-0369-0023-0012</t>
  </si>
  <si>
    <t>12-03-0448-0020-0002</t>
  </si>
  <si>
    <t>12-03-0608-9999-9999</t>
  </si>
  <si>
    <t>12-02-0231-0016-0000</t>
  </si>
  <si>
    <t>12-03-0567-0006-0000</t>
  </si>
  <si>
    <t>12-03-0608-0001-0001</t>
  </si>
  <si>
    <t>12-03-0465-0013-0001</t>
  </si>
  <si>
    <t>333 RIG ST, PETERSBURG, WV, 26847</t>
  </si>
  <si>
    <t>207 VIKING DR, PETERSBURG, WV, 26847</t>
  </si>
  <si>
    <t>320 HYRE AVE, PETERSBURG, WV, 26847</t>
  </si>
  <si>
    <t>8290 N FORK HWY, CABINS, WV, 26855</t>
  </si>
  <si>
    <t>928 LUNICE CREEK HWY, PETERSBURG, WV, 26847</t>
  </si>
  <si>
    <t>7231 FRANKLIN PIKE, PETERSBURG, WV, 26847</t>
  </si>
  <si>
    <t>10079 N FORK HWY, CABINS, WV, 26855</t>
  </si>
  <si>
    <t>5556 FRANKLIN PIKE, PETERSBURG, WV, 26847</t>
  </si>
  <si>
    <t>176 N MILL CREEK RD, PETERSBURG, WV, 26847</t>
  </si>
  <si>
    <t>2 CRAGGY ROCK RD, PETERSBURG, WV, 26847</t>
  </si>
  <si>
    <t>3877 SHOOKS GAP RD, PETERSBURG, WV, 26847</t>
  </si>
  <si>
    <t>148 DOZER DR, PETERSBURG, WV, 26847</t>
  </si>
  <si>
    <t>1516 LUNICE CREEK HWY, PETERSBURG, WV, 26847</t>
  </si>
  <si>
    <t>1468 LUNICE CREEK HWY, PETERSBURG, WV, 26847</t>
  </si>
  <si>
    <t>6050 LUNICE CREEK HWY, PETERSBURG, WV, 26847</t>
  </si>
  <si>
    <t>101 ALT AVE, PETERSBURG, WV, 26847</t>
  </si>
  <si>
    <t>191 SEYMORE SPRINGS RD, PETERSBURG, WV 26847</t>
  </si>
  <si>
    <t>6554 PATTERSON CREEK RD, LAHMANSVILLE, WV, 26731</t>
  </si>
  <si>
    <t>6028 S MILL CREEK RD, PETERSBURG, WV, 26847</t>
  </si>
  <si>
    <t>5734 FRANKLIN PIKE, PETERSBURG, WV, 26847</t>
  </si>
  <si>
    <t>4211 S MILL CREEK RD, PETERSBURG, WV, 26847</t>
  </si>
  <si>
    <t>2099 N FORK HWY, PETERSBURG, WV, 26847</t>
  </si>
  <si>
    <t>87 EVERY MORNING RD, UPPER TRACT, WV, 26866</t>
  </si>
  <si>
    <t>419 VIRGINIA AVE, PETERSBURG, WV, 26847</t>
  </si>
  <si>
    <t>1022 SNELL LN, PETERSBURG, WV, 26847</t>
  </si>
  <si>
    <t>1028 N MILL CREEK RD, PETERSBURG, WV, 26847</t>
  </si>
  <si>
    <t>166 ABRAMS CREEK DR, ELK GARDEN, WV, 26717</t>
  </si>
  <si>
    <t>126 INDIGO DR, CABINS, WV, 26855</t>
  </si>
  <si>
    <t>165 HYRE AVE, PETERSBURG, WV, 26847</t>
  </si>
  <si>
    <t>930 LUNICE CREEK HWY, PETERSBURG, WV, 26847</t>
  </si>
  <si>
    <t>1554 LUNICE CREEK HWY, PETERSBURG, WV, 26847</t>
  </si>
  <si>
    <t>40 TROUT LN, CABINS, WV, 26855</t>
  </si>
  <si>
    <t>6676 LUNICE CREEK HWY, PETERSBURG, WV, 26847</t>
  </si>
  <si>
    <t>97 BOSTON HARBOR LN, LAHMANSVILLE, WV, 26731</t>
  </si>
  <si>
    <t>108 WATER ST, MAYSVILLE, WV, 26833</t>
  </si>
  <si>
    <t>8256 N FORK HWY, CABINS, WV, 26855</t>
  </si>
  <si>
    <t>272 SPRING RUN RD, PETERSBURG, WV, 26847</t>
  </si>
  <si>
    <t>143 BOSTON HARBOR LN, LAHMANSVILLE, WV, 26731</t>
  </si>
  <si>
    <t>2448 N MILL CREEK RD, PETERSBURG, WV, 26847</t>
  </si>
  <si>
    <t>417 VIRGINIA AVE, PETERSBURG, WV, 26847</t>
  </si>
  <si>
    <t>79 HOOPENGOMER RD, PETERSBURG, WV, 26847</t>
  </si>
  <si>
    <t>8802 PATTERSON CREEK RD, LAHMANSVILLE, WV, 26731</t>
  </si>
  <si>
    <t>13919 PATTERSON CREEK RD, BURLINGTON, WV, 26710</t>
  </si>
  <si>
    <t>1256 PATTERSON CREEK RD, PETERSBURG, WV, 26847</t>
  </si>
  <si>
    <t>2850 JOHNSON RUN RD, PETERSBURG, WV, 26847</t>
  </si>
  <si>
    <t>9996 SOUTH MILL CREEK RD, PETERSBURG, WV, 26847</t>
  </si>
  <si>
    <t>9997 SOUTH MILL CREEK RD, PETERSBURG, WV, 26847</t>
  </si>
  <si>
    <t>9999 SOUTH MILL CREEK RD, Petersburg, WV, 26847</t>
  </si>
  <si>
    <t>9998 SOUTH MILL CREEK RD, PETERSBURG, WV, 26847</t>
  </si>
  <si>
    <t>3566 BELLE BABB LN, BURLINGTON, WV, 26731</t>
  </si>
  <si>
    <t>9319 FRANKLIN PIKE, PETERSBURG, WV, 26847</t>
  </si>
  <si>
    <t>12510 S MILL CREEK RD, UPPER TRACT, WV, 26866</t>
  </si>
  <si>
    <t>21 MOUNTAINEER DR, CABINS, WV, 26855</t>
  </si>
  <si>
    <t>AH</t>
  </si>
  <si>
    <t>GRANT CO BOARD OF EDUC</t>
  </si>
  <si>
    <t>SMOKE HOLE CAVERNS</t>
  </si>
  <si>
    <t>WV DOH</t>
  </si>
  <si>
    <t>BETHEL CHURCH OF THE BRETHERN TRUSTEES</t>
  </si>
  <si>
    <t>CHURCH PROPERTY ASSEMBLY OF GOD</t>
  </si>
  <si>
    <t>HYLTON CONRAD C &amp; PAMELA G &amp; HYLTON CONRAD C JR</t>
  </si>
  <si>
    <t>BRAKE CHURCH OF THE BRETHERN TRUSTEE</t>
  </si>
  <si>
    <t>BENSENHAVER FARMING PROPS LLC</t>
  </si>
  <si>
    <t>CALLEN STEPHEN J &amp; MICHAEL K SMOKEHOLE FARM &amp; CONSERVATION</t>
  </si>
  <si>
    <t>SCOTT LARRY T &amp; DONNA M</t>
  </si>
  <si>
    <t>CORNERSTONE FAMILY FELLOWSHIP</t>
  </si>
  <si>
    <t>BUILDERS GROUP INC</t>
  </si>
  <si>
    <t>LIGHTHOUSE COMMUNITY CHURCH</t>
  </si>
  <si>
    <t>ALT OSCEOLA SMITTY</t>
  </si>
  <si>
    <t>SCOTT VANESSA M (HARLOW)</t>
  </si>
  <si>
    <t>SITES REGINALD &amp; TAMARA K</t>
  </si>
  <si>
    <t>HARMAN STEPHEN H</t>
  </si>
  <si>
    <t>GOLDIZEN WINNIFRED E</t>
  </si>
  <si>
    <t>SHANHOLTZ FARON D &amp; RONDA K</t>
  </si>
  <si>
    <t>AMERICAN LEGION GRANT POST 78 INC</t>
  </si>
  <si>
    <t>FLANAGAN ROBERT D &amp; E DIANE</t>
  </si>
  <si>
    <t>WOODFORD DEVELOPMENT CO LLC</t>
  </si>
  <si>
    <t>GEARY JAMES PAUL II TR MULLENAX ANNA G TXTMY TRUST</t>
  </si>
  <si>
    <t>BARGER JEFFREY S &amp; AMANDA K</t>
  </si>
  <si>
    <t>RIOS MICHAEL VERSACE</t>
  </si>
  <si>
    <t>WALTERS AMY M</t>
  </si>
  <si>
    <t>HYRE BRUCE E JR &amp; MARY C</t>
  </si>
  <si>
    <t>TRI COUNTY COLLISION LLC</t>
  </si>
  <si>
    <t>ROGERS JEFFREY R &amp; KIMBERLY J</t>
  </si>
  <si>
    <t>EVANS ROBERT T</t>
  </si>
  <si>
    <t>CRITES JEREMY T &amp; MARY M &amp; CRITES LESLIE A &amp; LORI A</t>
  </si>
  <si>
    <t>BOSLEY WILLIAM G III &amp; EMILY M</t>
  </si>
  <si>
    <t>JUDY LYNN H ETAL</t>
  </si>
  <si>
    <t>KITTLEBERGER WILLIAM C &amp; JOAN</t>
  </si>
  <si>
    <t>VEACH DOUGLAS R &amp; WANDA B</t>
  </si>
  <si>
    <t>HOWELL LES C JR</t>
  </si>
  <si>
    <t>KIMBLE ESTON TRENT</t>
  </si>
  <si>
    <t>RIGGLEMAN ANTHONY J &amp; JADE U</t>
  </si>
  <si>
    <t>RAREDON CHANDRA C</t>
  </si>
  <si>
    <t>PARSONS RANDY D &amp; MELINA D</t>
  </si>
  <si>
    <t>TRIPLE R RANCH LLC</t>
  </si>
  <si>
    <t>KESSEL TODD A &amp; REBECCA L</t>
  </si>
  <si>
    <t>YOKUM BRENT T</t>
  </si>
  <si>
    <t>CLARK HELEN</t>
  </si>
  <si>
    <t>HARMAN PENNY LYNN</t>
  </si>
  <si>
    <t>1965</t>
  </si>
  <si>
    <t>1922</t>
  </si>
  <si>
    <t>1840</t>
  </si>
  <si>
    <t>1894</t>
  </si>
  <si>
    <t>1897</t>
  </si>
  <si>
    <t>1966</t>
  </si>
  <si>
    <t>57380</t>
  </si>
  <si>
    <t>115515</t>
  </si>
  <si>
    <t>37462</t>
  </si>
  <si>
    <t>16550</t>
  </si>
  <si>
    <t>22500</t>
  </si>
  <si>
    <t>12200</t>
  </si>
  <si>
    <t>11000</t>
  </si>
  <si>
    <t>2988</t>
  </si>
  <si>
    <t>12800</t>
  </si>
  <si>
    <t>1286</t>
  </si>
  <si>
    <t>7274</t>
  </si>
  <si>
    <t>5212</t>
  </si>
  <si>
    <t>14700</t>
  </si>
  <si>
    <t>14920</t>
  </si>
  <si>
    <t>6720</t>
  </si>
  <si>
    <t>3031</t>
  </si>
  <si>
    <t>2784</t>
  </si>
  <si>
    <t>3236</t>
  </si>
  <si>
    <t>3115</t>
  </si>
  <si>
    <t>7080</t>
  </si>
  <si>
    <t>16000</t>
  </si>
  <si>
    <t>6000</t>
  </si>
  <si>
    <t>3992</t>
  </si>
  <si>
    <t>3597</t>
  </si>
  <si>
    <t>3390</t>
  </si>
  <si>
    <t>18760</t>
  </si>
  <si>
    <t>3240</t>
  </si>
  <si>
    <t>6382</t>
  </si>
  <si>
    <t>2716</t>
  </si>
  <si>
    <t>1892</t>
  </si>
  <si>
    <t>26380</t>
  </si>
  <si>
    <t>2176</t>
  </si>
  <si>
    <t>4141</t>
  </si>
  <si>
    <t>2436</t>
  </si>
  <si>
    <t>26462</t>
  </si>
  <si>
    <t>6380</t>
  </si>
  <si>
    <t>5660</t>
  </si>
  <si>
    <t>2080</t>
  </si>
  <si>
    <t>1472</t>
  </si>
  <si>
    <t>2178</t>
  </si>
  <si>
    <t>2190</t>
  </si>
  <si>
    <t>1498</t>
  </si>
  <si>
    <t>16800</t>
  </si>
  <si>
    <t>1716</t>
  </si>
  <si>
    <t>2796</t>
  </si>
  <si>
    <t>1316</t>
  </si>
  <si>
    <t>2100</t>
  </si>
  <si>
    <t>HAMPSHIRE</t>
  </si>
  <si>
    <t>14-05-0017-0024-0000_18444</t>
  </si>
  <si>
    <t>14-02-0034-0017-0000_3838</t>
  </si>
  <si>
    <t>14-02-0034-0017-0000_3905</t>
  </si>
  <si>
    <t>14-08-0005-0047-0000_11</t>
  </si>
  <si>
    <t>14-09-0005-0006-0000_27</t>
  </si>
  <si>
    <t>14-10-0022-0056-0001_797G</t>
  </si>
  <si>
    <t>14-10-0015-0004-0000_651</t>
  </si>
  <si>
    <t>14-03-0002-0006-0000_2807</t>
  </si>
  <si>
    <t>14-06-0009-0013-0002_29346</t>
  </si>
  <si>
    <t>14-10-0018-0094-0002_221</t>
  </si>
  <si>
    <t>14-07-0016-0009-0000_411</t>
  </si>
  <si>
    <t>14-10-0009-0038-0000_735</t>
  </si>
  <si>
    <t>14-10-0015-0013-0000_3753</t>
  </si>
  <si>
    <t>14-08-0002-0003-0000_452</t>
  </si>
  <si>
    <t>14-05-0039-0041-0000_948</t>
  </si>
  <si>
    <t>14-03-0002-0002-0006_2960</t>
  </si>
  <si>
    <t>14-09-0005-0012-0000_6619</t>
  </si>
  <si>
    <t>14-07-0016-0009-0000_550</t>
  </si>
  <si>
    <t>14-05-0039-0075-0000_906</t>
  </si>
  <si>
    <t>14-03-0004-0007-0000_2957</t>
  </si>
  <si>
    <t>14-10-0022-0056-0001_797D</t>
  </si>
  <si>
    <t>14-05-0024-0032-0000_200</t>
  </si>
  <si>
    <t>14-05-0039-0066-0000_337</t>
  </si>
  <si>
    <t>14-10-0018-0068-0002_8504</t>
  </si>
  <si>
    <t>14-09-0033-0009-0000_114</t>
  </si>
  <si>
    <t>14-07-0016-0009-0000_559</t>
  </si>
  <si>
    <t>14-03-0004-0029-0001_113</t>
  </si>
  <si>
    <t>14-02-0019-0063-0000_37</t>
  </si>
  <si>
    <t>14-05-0039-0043-0000_886</t>
  </si>
  <si>
    <t>14-03-0002-0014-0000_2785</t>
  </si>
  <si>
    <t>14-06-0012-0010-0000_1025</t>
  </si>
  <si>
    <t>14-08-0002-0001-0001_472</t>
  </si>
  <si>
    <t>14-05-0039-0064-0000_241</t>
  </si>
  <si>
    <t>14-02-0028-0004-0000_558</t>
  </si>
  <si>
    <t>14-07-0028-0142-0000_18</t>
  </si>
  <si>
    <t>14-09-0020-0035-0000_12450</t>
  </si>
  <si>
    <t>14-03-0004-0032-0000_40</t>
  </si>
  <si>
    <t>14-07-0028-0009-0000_117</t>
  </si>
  <si>
    <t>14-03-0002-0002-0000_3004</t>
  </si>
  <si>
    <t>14-02-0019-0121-0000_3300</t>
  </si>
  <si>
    <t>14-05-0009-0090-0000_94</t>
  </si>
  <si>
    <t>14-10-0013-0276-0000_241</t>
  </si>
  <si>
    <t>14-03-0002-0012-0000_2766</t>
  </si>
  <si>
    <t>Hampshire County</t>
  </si>
  <si>
    <t>Town of Romney</t>
  </si>
  <si>
    <t>Town of Capon Bridge</t>
  </si>
  <si>
    <t>South Fork Little Cacapon River</t>
  </si>
  <si>
    <t>Capon Springs Run</t>
  </si>
  <si>
    <t>North River</t>
  </si>
  <si>
    <t>Potomac River</t>
  </si>
  <si>
    <t>Cacapon River</t>
  </si>
  <si>
    <t>Mill Creek</t>
  </si>
  <si>
    <t>Abernathy Run</t>
  </si>
  <si>
    <t>Mill Run</t>
  </si>
  <si>
    <t>Little Cacapon River</t>
  </si>
  <si>
    <t>Grassy Lick Run</t>
  </si>
  <si>
    <t>Dillons Run</t>
  </si>
  <si>
    <t>Three Churches Run</t>
  </si>
  <si>
    <t>14-05-0017-0024-0000</t>
  </si>
  <si>
    <t>14-02-0034-0017-0000</t>
  </si>
  <si>
    <t>14-08-0005-0047-0000</t>
  </si>
  <si>
    <t>14-09-0005-0006-0000</t>
  </si>
  <si>
    <t>14-10-0022-0056-0001</t>
  </si>
  <si>
    <t>14-10-0015-0004-0000</t>
  </si>
  <si>
    <t>14-03-0002-0006-0000</t>
  </si>
  <si>
    <t>14-06-0009-0013-0002</t>
  </si>
  <si>
    <t>14-10-0018-0094-0002</t>
  </si>
  <si>
    <t>14-07-0016-0009-0000</t>
  </si>
  <si>
    <t>14-10-0009-0038-0000</t>
  </si>
  <si>
    <t>14-10-0015-0013-0000</t>
  </si>
  <si>
    <t>14-08-0002-0003-0000</t>
  </si>
  <si>
    <t>14-05-0039-0041-0000</t>
  </si>
  <si>
    <t>14-03-0002-0002-0006</t>
  </si>
  <si>
    <t>14-09-0005-0012-0000</t>
  </si>
  <si>
    <t>14-05-0039-0075-0000</t>
  </si>
  <si>
    <t>14-03-0004-0007-0000</t>
  </si>
  <si>
    <t>14-05-0024-0032-0000</t>
  </si>
  <si>
    <t>14-05-0039-0066-0000</t>
  </si>
  <si>
    <t>14-10-0018-0068-0002</t>
  </si>
  <si>
    <t>14-09-0033-0009-0000</t>
  </si>
  <si>
    <t>14-03-0004-0029-0001</t>
  </si>
  <si>
    <t>14-02-0019-0063-0000</t>
  </si>
  <si>
    <t>14-05-0039-0043-0000</t>
  </si>
  <si>
    <t>14-03-0002-0014-0000</t>
  </si>
  <si>
    <t>14-06-0012-0010-0000</t>
  </si>
  <si>
    <t>14-08-0002-0001-0001</t>
  </si>
  <si>
    <t>14-05-0039-0064-0000</t>
  </si>
  <si>
    <t>14-02-0028-0004-0000</t>
  </si>
  <si>
    <t>14-07-0028-0142-0000</t>
  </si>
  <si>
    <t>14-09-0020-0035-0000</t>
  </si>
  <si>
    <t>14-03-0004-0032-0000</t>
  </si>
  <si>
    <t>14-07-0028-0009-0000</t>
  </si>
  <si>
    <t>14-03-0002-0002-0000</t>
  </si>
  <si>
    <t>14-02-0019-0121-0000</t>
  </si>
  <si>
    <t>14-05-0009-0090-0000</t>
  </si>
  <si>
    <t>14-10-0013-0276-0000</t>
  </si>
  <si>
    <t>14-03-0002-0012-0000</t>
  </si>
  <si>
    <t>18444 NORTHWESTERN PIKE, AUGUSTA, WV, 26757</t>
  </si>
  <si>
    <t>3838 CAPON SPRINGS RD, CAPON SPRINGS, WV, 26808</t>
  </si>
  <si>
    <t>3905 CAPON SPRINGS RD, CAPON SPRINGS, WV, 26808</t>
  </si>
  <si>
    <t>11 VETERAN BLVD, ROMNEY, WV, 26757</t>
  </si>
  <si>
    <t>27 BOULDER FIELD LN, DELRAY, WV, 26714</t>
  </si>
  <si>
    <t>797G RAILROAD ST, GREEN SPRING, WV, 26722</t>
  </si>
  <si>
    <t>651 WASHINGTON BOTTOM RD, SPRINGFIELD, WV, 26763</t>
  </si>
  <si>
    <t>2807 NORTHWESTERN PIKE, CAPON BRIDGE, WV, 26711</t>
  </si>
  <si>
    <t>29346 NORTHWESTERN PIKE, ROMNEY, WV, 26852</t>
  </si>
  <si>
    <t>221 SPRINGFIELD PIKE, SPRINGFIELD, WV, 26763</t>
  </si>
  <si>
    <t>411 CLUB HOUSE RD, ROMNEY, WV, 26757</t>
  </si>
  <si>
    <t>735 COLEMAN FARM RD, SPRINGFIELD, WV, 26722</t>
  </si>
  <si>
    <t>3753 CUMBERLAND RD, SPRINGFIELD, WV, 26763</t>
  </si>
  <si>
    <t>452 N HIGH ST, ROMNEY, WV, 26757</t>
  </si>
  <si>
    <t>948 TWIN FLOWER LN, SLANESVILLE, WV, 25444</t>
  </si>
  <si>
    <t>2960 NORTHWESTERN PIKE, CAPON BRIDGE, WV, 26817</t>
  </si>
  <si>
    <t>6619 NORTH TEXAS RD, DELRAY, WV, 26714</t>
  </si>
  <si>
    <t>550 CLUB HOUSE RD, ROMNEY, WV, 26757</t>
  </si>
  <si>
    <t>906 N BRISTLY ROSE DR, SLANESVILLE, WV, 25444</t>
  </si>
  <si>
    <t>2957 NORTHWESTERN PIKE, CAPON BRIDGE, WV, 26711</t>
  </si>
  <si>
    <t>797D RAILROAD ST, GREEN SPRING, WV, 26722</t>
  </si>
  <si>
    <t>200 HORSESHOE LN, SLANESVILLE, WV, 25444</t>
  </si>
  <si>
    <t>337 N BRISTLY ROSE DR, SLANESVILLE, WV, 25444</t>
  </si>
  <si>
    <t>8504 CUMBERLAND RD, SPRINGFIELD, WV, 26763</t>
  </si>
  <si>
    <t>114 HAMPSHIRE GAS DR, KIRBY, WV, 26755</t>
  </si>
  <si>
    <t>559 CLUB HOUSE RD, ROMNEY, WV, 26757</t>
  </si>
  <si>
    <t>113 CHRISTIAN CHURCH RD, CAPON BRIDGE, WV, 26711</t>
  </si>
  <si>
    <t>37 BURGER DR, CAPON BRIDGE, WV, 26711</t>
  </si>
  <si>
    <t>886 TWIN FLOWER LN, SLANESVILLE, WV, 25444</t>
  </si>
  <si>
    <t>2785 NORTHWESTERN PIKE, CAPON BRIDGE, WV, 26711</t>
  </si>
  <si>
    <t>1025 MUD RUN RD, PURGITSVILLE, WV, 26852</t>
  </si>
  <si>
    <t>472 N HIGH ST, ROMNEY, WV, 26757</t>
  </si>
  <si>
    <t>241 N BRISTLY ROSE DR, SLANESVILLE, WV, 25444</t>
  </si>
  <si>
    <t>558 N HOOKS MILL RD, HIGH VIEW, WV, 26711</t>
  </si>
  <si>
    <t>18 MOUNTAIN TYME DR, ROMNEY, WV, 26757</t>
  </si>
  <si>
    <t>12450 GRASSY LICK RD, KIRBY, WV, 26755</t>
  </si>
  <si>
    <t>40 CAPON RIVER RD, CAPON BRIDGE, WV, 26711</t>
  </si>
  <si>
    <t>117 MOUNTAIN TYME DR, ROMNEY, WV, 26757</t>
  </si>
  <si>
    <t>3004 NORTHWESTERN PIKE, CAPON BRIDGE, WV, 26817</t>
  </si>
  <si>
    <t>3300 OLD MILL RD, CAPON BRIDGE, WV, 26711</t>
  </si>
  <si>
    <t>94 LAWRENCE W LEWIS DR, POINTS, WV, 26757</t>
  </si>
  <si>
    <t>241 LAZY RIVER RD, GREEN SPRING, WV, 26722</t>
  </si>
  <si>
    <t>2766 NORTHWESTERN PIKE, CAPON BRIDGE, WV, 26817</t>
  </si>
  <si>
    <t>POTOMAC EDISON CO (THE)</t>
  </si>
  <si>
    <t>CAPON SPRINGS &amp; FARMS INC</t>
  </si>
  <si>
    <t>USA (ARMY RESERVE)</t>
  </si>
  <si>
    <t>DESANCTIS JAMES S &amp; BARBARA J</t>
  </si>
  <si>
    <t>KOPPERS INDUSTRIES INC</t>
  </si>
  <si>
    <t>SHAW MICHAEL A &amp; CAROL M &amp; RUTH MORGAN BRALEY TRUST</t>
  </si>
  <si>
    <t>LOY-GIFFIN FUNERAL HOME LLC</t>
  </si>
  <si>
    <t>MALCOLM WILLARD ESTATE</t>
  </si>
  <si>
    <t>SPRINGFIELD VALLEY VOLUNTEER FIRE COMPANY</t>
  </si>
  <si>
    <t>TR PROTESTANT CHURCH</t>
  </si>
  <si>
    <t>COLEMAN MICHAEL J</t>
  </si>
  <si>
    <t>ROEDER SHANE L &amp; JENNA T</t>
  </si>
  <si>
    <t>POTOMAC VALLEY FEDERAL LAND ASSOCIATION</t>
  </si>
  <si>
    <t>BAUER STEPHEN &amp; MARY</t>
  </si>
  <si>
    <t>THE BANK OF ROMNEY</t>
  </si>
  <si>
    <t>DELRAY CHRISTIAN CHURCH</t>
  </si>
  <si>
    <t>POMEROY FREDERICK &amp; NANCY</t>
  </si>
  <si>
    <t>FIRST NATIONAL BANK OF ROMNEY (THE)</t>
  </si>
  <si>
    <t>KING OLIVER H &amp; LINDA M</t>
  </si>
  <si>
    <t>VELELLI VICTOR E &amp; CONSTANCE W</t>
  </si>
  <si>
    <t>HAMPSHIRE GAS CO</t>
  </si>
  <si>
    <t>GIFFIN JERRY B &amp; KATIE J BROWN</t>
  </si>
  <si>
    <t>BROWN DAVID M &amp; DIANA B</t>
  </si>
  <si>
    <t>JONES ROBERT MARK &amp; JO ALLEN JOINT LIVING TRUST</t>
  </si>
  <si>
    <t>ALVARADO INC &amp; CRUZ ALVARADO</t>
  </si>
  <si>
    <t>RICHMAN W JEFFERSON II &amp; ADANNA D</t>
  </si>
  <si>
    <t>BRANCH MOUNTAIN MANAGEMENT LLC</t>
  </si>
  <si>
    <t>MORIARTY JOHN B - TRUST</t>
  </si>
  <si>
    <t>LUM JAMES L II &amp; DIXIE L</t>
  </si>
  <si>
    <t>PARSONS GARRETT T JR &amp; MEGAN A</t>
  </si>
  <si>
    <t>PLEASANTON KENNETH H &amp;PAMELA S</t>
  </si>
  <si>
    <t>WOTRING JOHN B &amp; KATHY S</t>
  </si>
  <si>
    <t>HOPKINS KENNETH LYLE &amp; LINDA K DECHAMBEAU</t>
  </si>
  <si>
    <t>KIPPS THOMAS A &amp; JANE H</t>
  </si>
  <si>
    <t>NEWPORT TERRY LEE &amp; KAY LYNNE</t>
  </si>
  <si>
    <t>CONWELL BRIAN J &amp; SUSAN C</t>
  </si>
  <si>
    <t>COOKE EDWARD J &amp; COURTNEY D</t>
  </si>
  <si>
    <t>CAPON BRIDGE FIRE DEPT INC</t>
  </si>
  <si>
    <t>1835</t>
  </si>
  <si>
    <t>1895</t>
  </si>
  <si>
    <t>1880</t>
  </si>
  <si>
    <t>1828</t>
  </si>
  <si>
    <t>1884</t>
  </si>
  <si>
    <t>1806</t>
  </si>
  <si>
    <t>1774</t>
  </si>
  <si>
    <t>1854</t>
  </si>
  <si>
    <t>1941</t>
  </si>
  <si>
    <t>1785</t>
  </si>
  <si>
    <t>19404</t>
  </si>
  <si>
    <t>35421</t>
  </si>
  <si>
    <t>6718</t>
  </si>
  <si>
    <t>12600</t>
  </si>
  <si>
    <t>1490</t>
  </si>
  <si>
    <t>13075</t>
  </si>
  <si>
    <t>5892</t>
  </si>
  <si>
    <t>11874</t>
  </si>
  <si>
    <t>26400</t>
  </si>
  <si>
    <t>5171</t>
  </si>
  <si>
    <t>1080</t>
  </si>
  <si>
    <t>8854</t>
  </si>
  <si>
    <t>3210</t>
  </si>
  <si>
    <t>3388</t>
  </si>
  <si>
    <t>7019</t>
  </si>
  <si>
    <t>7704</t>
  </si>
  <si>
    <t>3200</t>
  </si>
  <si>
    <t>1684</t>
  </si>
  <si>
    <t>7350</t>
  </si>
  <si>
    <t>2450</t>
  </si>
  <si>
    <t>3756</t>
  </si>
  <si>
    <t>3267</t>
  </si>
  <si>
    <t>3040</t>
  </si>
  <si>
    <t>3478</t>
  </si>
  <si>
    <t>2183</t>
  </si>
  <si>
    <t>3164</t>
  </si>
  <si>
    <t>5850</t>
  </si>
  <si>
    <t>2872</t>
  </si>
  <si>
    <t>4120</t>
  </si>
  <si>
    <t>2704</t>
  </si>
  <si>
    <t>3246</t>
  </si>
  <si>
    <t>5140</t>
  </si>
  <si>
    <t>2165</t>
  </si>
  <si>
    <t>3941</t>
  </si>
  <si>
    <t>65464</t>
  </si>
  <si>
    <t>7272</t>
  </si>
  <si>
    <t>3360</t>
  </si>
  <si>
    <t>2757</t>
  </si>
  <si>
    <t>3034</t>
  </si>
  <si>
    <t>6048</t>
  </si>
  <si>
    <t>14-05-0018-0092-0000_251</t>
  </si>
  <si>
    <t>14-05-0018-0092-0000</t>
  </si>
  <si>
    <t>251 LITTLE CACAPON RD, AUGUSTA, WV, 26757</t>
  </si>
  <si>
    <t>CENTRAL HAMPSHIRE PUBLIC SERVICE DISTRICT</t>
  </si>
  <si>
    <t>HARDY</t>
  </si>
  <si>
    <t>16-04-0006-0094-0000_401</t>
  </si>
  <si>
    <t>16-04-0008-0001-0001_400</t>
  </si>
  <si>
    <t>16-05-0303-0030-0000_390</t>
  </si>
  <si>
    <t>16-02-0308-0034-0001_740</t>
  </si>
  <si>
    <t>16-04-0020-0006-0003_106</t>
  </si>
  <si>
    <t>16-04-0006-0020-0000_300</t>
  </si>
  <si>
    <t>16-04-0020-0006-0001_1500</t>
  </si>
  <si>
    <t>16-05-0304-0048-0011_194</t>
  </si>
  <si>
    <t>16-04-0008-0001-0002_310</t>
  </si>
  <si>
    <t>16-02-0487-0033-0000_137</t>
  </si>
  <si>
    <t>16-04-0002-0071-0000_9999</t>
  </si>
  <si>
    <t>16-04-0020-0006-0007_185</t>
  </si>
  <si>
    <t>16-04-0020-0004-0002_9999</t>
  </si>
  <si>
    <t>16-04-0020-0004-0000_9999</t>
  </si>
  <si>
    <t>16-04-0008-0003-0000_125</t>
  </si>
  <si>
    <t>16-04-0020-0004-0001_9999</t>
  </si>
  <si>
    <t>16-04-0020-0006-0006_149</t>
  </si>
  <si>
    <t>16-04-0020-0026-0000_1542</t>
  </si>
  <si>
    <t>16-03-0244-0025-0014_1133</t>
  </si>
  <si>
    <t>16-04-0020-0024-0000_79</t>
  </si>
  <si>
    <t>16-04-0020-0011-0000_9999</t>
  </si>
  <si>
    <t>16-03-0185-0006-0000_305A</t>
  </si>
  <si>
    <t>16-03-0185-0006-0000_305B</t>
  </si>
  <si>
    <t>16-03-0185-0006-0000_305C</t>
  </si>
  <si>
    <t>16-03-0185-0006-0000_305D</t>
  </si>
  <si>
    <t>16-03-0185-0006-0000_305E</t>
  </si>
  <si>
    <t>16-03-0185-0006-0000_305F</t>
  </si>
  <si>
    <t>16-02-0486-0017-0000_1001</t>
  </si>
  <si>
    <t>16-05-0342-0033-0000_185</t>
  </si>
  <si>
    <t>16-05-0541-0023-0000_355</t>
  </si>
  <si>
    <t>16-05-0324-0011-0001_1201</t>
  </si>
  <si>
    <t>16-05-0342-0052-0000_688</t>
  </si>
  <si>
    <t>16-05-0323-0013-0000_2304</t>
  </si>
  <si>
    <t>16-03-0205-0027-0001_9999</t>
  </si>
  <si>
    <t>16-03-0304-0067-0000_708</t>
  </si>
  <si>
    <t>16-05-0362-0047-0000_390</t>
  </si>
  <si>
    <t>Town of Moorefield</t>
  </si>
  <si>
    <t>Hardy County</t>
  </si>
  <si>
    <t>Parker Hollow Run</t>
  </si>
  <si>
    <t>Lost River</t>
  </si>
  <si>
    <t>South Branch Potomac River Tributary No.2</t>
  </si>
  <si>
    <t>Mudlick Run</t>
  </si>
  <si>
    <t>Howards Lick Run</t>
  </si>
  <si>
    <t>Durgon Creek</t>
  </si>
  <si>
    <t>South Fork of the South Branch Potomac River</t>
  </si>
  <si>
    <t>16-04-0006-0094-0000</t>
  </si>
  <si>
    <t>16-04-0008-0001-0001</t>
  </si>
  <si>
    <t>16-05-0303-0030-0000</t>
  </si>
  <si>
    <t>16-02-0308-0034-0001</t>
  </si>
  <si>
    <t>16-04-0020-0006-0003</t>
  </si>
  <si>
    <t>16-04-0006-0020-0000</t>
  </si>
  <si>
    <t>16-04-0020-0006-0001</t>
  </si>
  <si>
    <t>16-05-0304-0048-0011</t>
  </si>
  <si>
    <t>16-04-0008-0001-0002</t>
  </si>
  <si>
    <t>16-02-0487-0033-0000</t>
  </si>
  <si>
    <t>16-04-0002-0071-0000</t>
  </si>
  <si>
    <t>16-04-0020-0006-0007</t>
  </si>
  <si>
    <t>16-04-0020-0004-0002</t>
  </si>
  <si>
    <t>16-04-0020-0004-0000</t>
  </si>
  <si>
    <t>16-04-0008-0003-0000</t>
  </si>
  <si>
    <t>16-04-0020-0004-0001</t>
  </si>
  <si>
    <t>16-04-0020-0006-0006</t>
  </si>
  <si>
    <t>16-04-0020-0026-0000</t>
  </si>
  <si>
    <t>16-03-0244-0025-0014</t>
  </si>
  <si>
    <t>16-04-0020-0024-0000</t>
  </si>
  <si>
    <t>16-04-0020-0011-0000</t>
  </si>
  <si>
    <t>16-03-0185-0006-0000</t>
  </si>
  <si>
    <t>16-02-0486-0017-0000</t>
  </si>
  <si>
    <t>16-05-0342-0033-0000</t>
  </si>
  <si>
    <t>16-05-0541-0023-0000</t>
  </si>
  <si>
    <t>16-05-0324-0011-0001</t>
  </si>
  <si>
    <t>16-05-0342-0052-0000</t>
  </si>
  <si>
    <t>16-05-0323-0013-0000</t>
  </si>
  <si>
    <t>16-03-0205-0027-0001</t>
  </si>
  <si>
    <t>16-03-0304-0067-0000</t>
  </si>
  <si>
    <t>16-05-0362-0047-0000</t>
  </si>
  <si>
    <t>401 N MAIN ST, MOOREFIELD, WV, 26836</t>
  </si>
  <si>
    <t>400 N MAIN ST, MOOREFIELD, WV, 26836</t>
  </si>
  <si>
    <t>390 MOOREFIELD INDUSTRIAL PARK RD, MOOREFIELD, WV, 26836</t>
  </si>
  <si>
    <t>740 PARKER HOLLOW RD, BAKER, WV, 26801</t>
  </si>
  <si>
    <t>106 HARNESS RD, MOOREFIELD, WV, 26836</t>
  </si>
  <si>
    <t>300 N MAIN ST, MOOREFIELD, WV, 26836</t>
  </si>
  <si>
    <t>1500 US HIGHWAY 220 N, MOOREFIELD, WV, 26836</t>
  </si>
  <si>
    <t>194 MOOREFIELD INDUSTRIAL PARK RD, MOOREFIELD, WV, 26836</t>
  </si>
  <si>
    <t>310 N MAIN ST, MOOREFIELD, WV, 26836</t>
  </si>
  <si>
    <t>137 UPPER COVE RD, MATHIAS, WV, 26812</t>
  </si>
  <si>
    <t>9999 BEANS LN, MOOREFIELD, WV, 26836</t>
  </si>
  <si>
    <t>185 HYDE ST, MOOREFIELD, WV, 26836</t>
  </si>
  <si>
    <t>9999 US HIGHWAY 220 N, MOOREFIELD, WV, 26836</t>
  </si>
  <si>
    <t>125 SEWER PLANT RD, MOOREFIELD, WV, 26836</t>
  </si>
  <si>
    <t>149 HYDE ST, MOOREFIELD, WV, 26836</t>
  </si>
  <si>
    <t>1542 US HIGHWAY 220 N, MOOREFIELD, WV, 26836</t>
  </si>
  <si>
    <t>1133 OGDEN FARM RD, MOOREFIELD, WV, 26836</t>
  </si>
  <si>
    <t>79 HYDE ST, MOOREFIELD, WV, 26836</t>
  </si>
  <si>
    <t>305A Eight is Enough Ln, Old Fields, WV, 26845</t>
  </si>
  <si>
    <t>305B Eight is Enough Ln, Old Fields, WV, 26845</t>
  </si>
  <si>
    <t>305C Eight is Enough Ln, Old Fields, WV, 26845</t>
  </si>
  <si>
    <t>305D Eight is Enough Ln, Old Fields, WV, 26845</t>
  </si>
  <si>
    <t>305E Eight is Enough Ln, Old Fields, WV, 26845</t>
  </si>
  <si>
    <t>305F Eight is Enough Ln, Old Fields, WV, 26845</t>
  </si>
  <si>
    <t>1001 HOWARDS LICK RD, MATHIAS, WV, 26812</t>
  </si>
  <si>
    <t>185 DURGON RD, MOOREFIELD, WV, 26836</t>
  </si>
  <si>
    <t>355 WATERMARK LN, MILAM, WV, 26838</t>
  </si>
  <si>
    <t>1201 WILLOWS LN, MOOREFIELD, WV, 26836</t>
  </si>
  <si>
    <t>688 SILVER RIVER ACRES RD, MOOREFIELD, WV, 26836</t>
  </si>
  <si>
    <t>2304 US HIGHWAY 220 S, MOOREFIELD, WV, 26836</t>
  </si>
  <si>
    <t>9999 KILLDEER LN, MOOREFIELD, WV, 26836</t>
  </si>
  <si>
    <t>708 MILL ISLAND DR, MOOREFIELD, WV, 26836</t>
  </si>
  <si>
    <t>390 SILVER RIVER ACRES RD, MOOREFIELD, WV, 26836</t>
  </si>
  <si>
    <t>HARDY CO BOARD OF EDUCATION</t>
  </si>
  <si>
    <t>ALLEGHENY DIMENSION</t>
  </si>
  <si>
    <t>HARDY COUNTY PUBLIC SERVICE DISTRICT</t>
  </si>
  <si>
    <t>WAL-MART REAL ESTATE BUSINESS TRUST</t>
  </si>
  <si>
    <t>SUMMIT COMMUNITY BANK</t>
  </si>
  <si>
    <t>SOUTH BRANCH INN INC A WV CORPORATION</t>
  </si>
  <si>
    <t>PILGRIM'S PRIDE CORPORATION OF WV</t>
  </si>
  <si>
    <t>CAPITAL STATE BANK INC NKA SUMMIT COMMUNITY BANK INC</t>
  </si>
  <si>
    <t>CHURCH OF THE BRETHERN OF</t>
  </si>
  <si>
    <t>FERTIG CABINET COMPANY INC</t>
  </si>
  <si>
    <t>SOUTH BRANCH POTOMAC LANES LLC</t>
  </si>
  <si>
    <t>B T A INC</t>
  </si>
  <si>
    <t>TOWN OF MOOREFIELD</t>
  </si>
  <si>
    <t>SOUTH BRANCH INN INC A WV CORP</t>
  </si>
  <si>
    <t>M R W INC 1/2 &amp; MEWILLIAMS LLC 1/2</t>
  </si>
  <si>
    <t>WEATHERHOLTZ JOAN H</t>
  </si>
  <si>
    <t>CENTRAL TIE &amp; LUMBER COMPANY</t>
  </si>
  <si>
    <t>NESBIT ANN J</t>
  </si>
  <si>
    <t>ALT TONY A &amp; LOIS E</t>
  </si>
  <si>
    <t>MATHIAS ASSEMBLY OF GOD CHURCH</t>
  </si>
  <si>
    <t>HARPER DOROTHY R 6/20 &amp; ROY P HARPER 12/20</t>
  </si>
  <si>
    <t>MAHER LIVING TRUST</t>
  </si>
  <si>
    <t>WILLIAMS ROBERT R &amp; MICHELINE W</t>
  </si>
  <si>
    <t>LAWSON BENNIE J &amp; GAYLE</t>
  </si>
  <si>
    <t>KUYKENDALL DANIEL W EST &amp; MARY L EST</t>
  </si>
  <si>
    <t>SIONS TIMOTHY C &amp; SARAH E</t>
  </si>
  <si>
    <t>SAVILLE ROYCE B</t>
  </si>
  <si>
    <t>KHAMAS SARMAD &amp; EHAB MOHAMMED AMEN</t>
  </si>
  <si>
    <t>1890</t>
  </si>
  <si>
    <t>1800</t>
  </si>
  <si>
    <t>1850</t>
  </si>
  <si>
    <t>COM9</t>
  </si>
  <si>
    <t>92690</t>
  </si>
  <si>
    <t>54094</t>
  </si>
  <si>
    <t>348525</t>
  </si>
  <si>
    <t>6300</t>
  </si>
  <si>
    <t>110178</t>
  </si>
  <si>
    <t>30252</t>
  </si>
  <si>
    <t>52068</t>
  </si>
  <si>
    <t>86148</t>
  </si>
  <si>
    <t>13071</t>
  </si>
  <si>
    <t>23206</t>
  </si>
  <si>
    <t>63988</t>
  </si>
  <si>
    <t>16860</t>
  </si>
  <si>
    <t>17404</t>
  </si>
  <si>
    <t>8200</t>
  </si>
  <si>
    <t>6508</t>
  </si>
  <si>
    <t>12316</t>
  </si>
  <si>
    <t>4520</t>
  </si>
  <si>
    <t>5746</t>
  </si>
  <si>
    <t>39600</t>
  </si>
  <si>
    <t>2640</t>
  </si>
  <si>
    <t>4490</t>
  </si>
  <si>
    <t>7624</t>
  </si>
  <si>
    <t>16-04-0010-0002-0001_9999</t>
  </si>
  <si>
    <t>16-04-0010-0002-0001</t>
  </si>
  <si>
    <t>9999 WATER PLANT DR, MOOREFIELD, WV, 26836</t>
  </si>
  <si>
    <t>MINERAL</t>
  </si>
  <si>
    <t>29-04-0012-0001-0000_9999</t>
  </si>
  <si>
    <t>29-07-0012-0080-00R1_1123</t>
  </si>
  <si>
    <t>29-07-0012-0082-0000_879</t>
  </si>
  <si>
    <t>29-06-0016-0005-0000_100</t>
  </si>
  <si>
    <t>29-06-0015-0050-0000_2294</t>
  </si>
  <si>
    <t>29-07-0012-0080-00R1_981</t>
  </si>
  <si>
    <t>29-04-0012-0002-0000_9999</t>
  </si>
  <si>
    <t>29-06-0012-0024-0000_189</t>
  </si>
  <si>
    <t>29-09-0001-0029-0000_51</t>
  </si>
  <si>
    <t>29-07-0007-0192-0000_150</t>
  </si>
  <si>
    <t>29-09-0001-0002-0002_10</t>
  </si>
  <si>
    <t>29-06-0016-0071-0000_2080</t>
  </si>
  <si>
    <t>29-06-0012-0026-0008_541</t>
  </si>
  <si>
    <t>29-07-0007-0315-0000_32</t>
  </si>
  <si>
    <t>29-10-0009-0002-0000_2120</t>
  </si>
  <si>
    <t>29-04-0025-0098-0000_1040</t>
  </si>
  <si>
    <t>29-10-0008-0069-0001_2172</t>
  </si>
  <si>
    <t>29-10-0009-0005-0000_1640</t>
  </si>
  <si>
    <t>29-07-0007-0308-0000_51</t>
  </si>
  <si>
    <t>29-10-0009-0002-0000_2092</t>
  </si>
  <si>
    <t>29-06-0016-0013-0000_35</t>
  </si>
  <si>
    <t>29-07-0010-0001-0000_9999</t>
  </si>
  <si>
    <t>29-06-0019-0058-0003_3628</t>
  </si>
  <si>
    <t>29-06-0016-0080-0000_51</t>
  </si>
  <si>
    <t>29-06-0016-0005-0000_78</t>
  </si>
  <si>
    <t>29-07-0007-0204-0000_100</t>
  </si>
  <si>
    <t>29-07-0007-0168-0000_81</t>
  </si>
  <si>
    <t>29-06-0016-0078-0000_1280</t>
  </si>
  <si>
    <t>29-09-0001-0017-0000_34</t>
  </si>
  <si>
    <t>29-07-012A-0200-0000_807</t>
  </si>
  <si>
    <t>29-04-0031-0047-0000_9944</t>
  </si>
  <si>
    <t>29-06-0012-0004-00C1_1190</t>
  </si>
  <si>
    <t>29-06-0016-0081-0000_1336</t>
  </si>
  <si>
    <t>29-09-0002-0184-0000_41</t>
  </si>
  <si>
    <t>29-04-018F-0001-0000_128</t>
  </si>
  <si>
    <t>29-09-0002-0122-0000_51</t>
  </si>
  <si>
    <t>29-06-0016-0084-0001_1234</t>
  </si>
  <si>
    <t>29-06-0019-0011-0000_4404</t>
  </si>
  <si>
    <t>29-04-0031-0047-0003_9862</t>
  </si>
  <si>
    <t>29-10-008H-0012-00R1_2266</t>
  </si>
  <si>
    <t>29-04-0007-0176-0004_558</t>
  </si>
  <si>
    <t>29-04-0020-0001-0001_3232</t>
  </si>
  <si>
    <t>29-06-0015-0050-0005_39</t>
  </si>
  <si>
    <t>29-04-0031-0063-0000_13</t>
  </si>
  <si>
    <t>29-09-0002-0149-0000_114</t>
  </si>
  <si>
    <t>29-07-0007-0187-0000_107</t>
  </si>
  <si>
    <t>29-07-0007-0169-0000_95</t>
  </si>
  <si>
    <t>29-09-0002-0128-0000_63</t>
  </si>
  <si>
    <t>29-07-0007-0205-0000_116</t>
  </si>
  <si>
    <t>29-04-0031-0046-0001_65</t>
  </si>
  <si>
    <t>29-04-0015-0018-0000_4070</t>
  </si>
  <si>
    <t>29-06-0016-0036-0000_3017</t>
  </si>
  <si>
    <t>29-06-0016-0036-0000_4032</t>
  </si>
  <si>
    <t>29-09-0002-0128-0002_59</t>
  </si>
  <si>
    <t>29-04-015J-0010-0000_3663</t>
  </si>
  <si>
    <t>29-04-0041-0021-0008_161</t>
  </si>
  <si>
    <t>29-06-0015-0050-0008_114</t>
  </si>
  <si>
    <t>29-06-0016-0036-0000_1005</t>
  </si>
  <si>
    <t>29-06-0016-0036-0000_5033</t>
  </si>
  <si>
    <t>29-06-0016-0036-0000_9063</t>
  </si>
  <si>
    <t>29-04-0019-0023-0000_1714</t>
  </si>
  <si>
    <t>29-01-0025-0023-0000_1535</t>
  </si>
  <si>
    <t>Mineral County</t>
  </si>
  <si>
    <t>City of Keyser</t>
  </si>
  <si>
    <t>City of Piedmont</t>
  </si>
  <si>
    <t>North Branch Potomac River</t>
  </si>
  <si>
    <t>New Creek</t>
  </si>
  <si>
    <t>Keller Run</t>
  </si>
  <si>
    <t>Turners Run</t>
  </si>
  <si>
    <t>29-04-0012-0001-0000</t>
  </si>
  <si>
    <t>29-07-0012-0080-00R1</t>
  </si>
  <si>
    <t>29-07-0012-0082-0000</t>
  </si>
  <si>
    <t>29-06-0016-0005-0000</t>
  </si>
  <si>
    <t>29-06-0015-0050-0000</t>
  </si>
  <si>
    <t>29-04-0012-0002-0000</t>
  </si>
  <si>
    <t>29-06-0012-0024-0000</t>
  </si>
  <si>
    <t>29-09-0001-0029-0000</t>
  </si>
  <si>
    <t>29-07-0007-0192-0000</t>
  </si>
  <si>
    <t>29-09-0001-0002-0002</t>
  </si>
  <si>
    <t>29-06-0016-0071-0000</t>
  </si>
  <si>
    <t>29-06-0012-0026-0008</t>
  </si>
  <si>
    <t>29-07-0007-0315-0000</t>
  </si>
  <si>
    <t>29-10-0009-0002-0000</t>
  </si>
  <si>
    <t>29-04-0025-0098-0000</t>
  </si>
  <si>
    <t>29-10-0008-0069-0001</t>
  </si>
  <si>
    <t>29-10-0009-0005-0000</t>
  </si>
  <si>
    <t>29-07-0007-0308-0000</t>
  </si>
  <si>
    <t>29-06-0016-0013-0000</t>
  </si>
  <si>
    <t>29-07-0010-0001-0000</t>
  </si>
  <si>
    <t>29-06-0019-0058-0003</t>
  </si>
  <si>
    <t>29-06-0016-0080-0000</t>
  </si>
  <si>
    <t>29-07-0007-0204-0000</t>
  </si>
  <si>
    <t>29-07-0007-0168-0000</t>
  </si>
  <si>
    <t>29-06-0016-0078-0000</t>
  </si>
  <si>
    <t>29-09-0001-0017-0000</t>
  </si>
  <si>
    <t>29-07-012A-0200-0000</t>
  </si>
  <si>
    <t>29-04-0031-0047-0000</t>
  </si>
  <si>
    <t>29-06-0012-0004-00C1</t>
  </si>
  <si>
    <t>29-06-0016-0081-0000</t>
  </si>
  <si>
    <t>29-09-0002-0184-0000</t>
  </si>
  <si>
    <t>29-04-018F-0001-0000</t>
  </si>
  <si>
    <t>29-09-0002-0122-0000</t>
  </si>
  <si>
    <t>29-06-0016-0084-0001</t>
  </si>
  <si>
    <t>29-06-0019-0011-0000</t>
  </si>
  <si>
    <t>29-04-0031-0047-0003</t>
  </si>
  <si>
    <t>29-10-008H-0012-00R1</t>
  </si>
  <si>
    <t>29-04-0007-0176-0004</t>
  </si>
  <si>
    <t>29-04-0020-0001-0001</t>
  </si>
  <si>
    <t>29-06-0015-0050-0005</t>
  </si>
  <si>
    <t>29-04-0031-0063-0000</t>
  </si>
  <si>
    <t>29-09-0002-0149-0000</t>
  </si>
  <si>
    <t>29-07-0007-0187-0000</t>
  </si>
  <si>
    <t>29-07-0007-0169-0000</t>
  </si>
  <si>
    <t>29-09-0002-0128-0000</t>
  </si>
  <si>
    <t>29-07-0007-0205-0000</t>
  </si>
  <si>
    <t>29-04-0031-0046-0001</t>
  </si>
  <si>
    <t>29-04-0015-0018-0000</t>
  </si>
  <si>
    <t>29-06-0016-0036-0000</t>
  </si>
  <si>
    <t>29-09-0002-0128-0002</t>
  </si>
  <si>
    <t>29-04-015J-0010-0000</t>
  </si>
  <si>
    <t>29-04-0041-0021-0008</t>
  </si>
  <si>
    <t>29-06-0015-0050-0008</t>
  </si>
  <si>
    <t>29-04-0019-0023-0000</t>
  </si>
  <si>
    <t>29-01-0025-0023-0000</t>
  </si>
  <si>
    <t>9999 PLANT 1 ACCESS RD, KEYSER, WV, 26726</t>
  </si>
  <si>
    <t>1123 HARLEY O STAGGERS DR, KEYSER, WV, 26726</t>
  </si>
  <si>
    <t>879 HARLEY O STAGGERS DR, KEYSER, WV, 26726</t>
  </si>
  <si>
    <t>100 Pin Oak Lane, Keyser, WV, 26726</t>
  </si>
  <si>
    <t>2294 NEW CREEK HWY, KEYSER, WV, 26726</t>
  </si>
  <si>
    <t>981 HARLEY O STAGGERS DR, KEYSER, WV, 26726</t>
  </si>
  <si>
    <t>9999 PLANT 2 ACCESS RD, KEYSER, WV, 26726</t>
  </si>
  <si>
    <t>189 NEW CREEK HWY, KEYSER, WV, 26726</t>
  </si>
  <si>
    <t>51 JONES ST, PIEDMONT, WV, 26750</t>
  </si>
  <si>
    <t>150 ARMSTRONG ST, KEYSER, WV, 26726</t>
  </si>
  <si>
    <t>10 ORCHARD ST, Piedmont, WV, 26750</t>
  </si>
  <si>
    <t>2080 NEW CREEK HWY, KEYSER, WV, 26726</t>
  </si>
  <si>
    <t>541 HARLEY O STAGGERS DR, KEYSER, WV, 26726</t>
  </si>
  <si>
    <t>32 N DAVIS ST, KEYSER, WV, 26726</t>
  </si>
  <si>
    <t>2120 NORTHWESTERN TPKE, BURLINGTON, WV, 26710</t>
  </si>
  <si>
    <t>1040 DANS RUN RD, FORT ASHBY, WV, 26719</t>
  </si>
  <si>
    <t>2172 NORTHWESTERN TPKE, BURLINGTON, WV, 26710</t>
  </si>
  <si>
    <t>1640 NORTHWESTERN TPKE, BURLINGTON, WV, 26710</t>
  </si>
  <si>
    <t>51 N MAIN ST, KEYSER, WV, 26726</t>
  </si>
  <si>
    <t>2092 NORTHWESTERN TPKE, BURLINGTON, WV, 26710</t>
  </si>
  <si>
    <t>35 PIN OAK LN, KEYSER, WV, 26726</t>
  </si>
  <si>
    <t>9999 S MAIN ST, KEYSER, WV, 26726</t>
  </si>
  <si>
    <t>3628 NEW CREEK HWY, KEYSER, WV, 26726</t>
  </si>
  <si>
    <t>51 JOSIE DR, KEYSER, WV, 26726</t>
  </si>
  <si>
    <t>78 PIN OAK LN, KEYSER, WV, 26726</t>
  </si>
  <si>
    <t>100 EAST ST, KEYSER, WV, 26726</t>
  </si>
  <si>
    <t>81 N MAIN ST, KEYSER, WV, 26726</t>
  </si>
  <si>
    <t>1280 NEW CREEK HWY, KEYSER, WV, 26726</t>
  </si>
  <si>
    <t>34 JONES ST, PIEDMONT, WV, 26750</t>
  </si>
  <si>
    <t>807 S MINERAL ST, KEYSER, WV, 26726</t>
  </si>
  <si>
    <t>9944 FRANKFORT HWY, FORT ASHBY, WV, 26719</t>
  </si>
  <si>
    <t>1190 NEW CREEK HWY, KEYSER, WV, 26726</t>
  </si>
  <si>
    <t>1336 NEW CREEK HWY, KEYSER, WV, 26726</t>
  </si>
  <si>
    <t>41 LYONS ST, PIEDMONT, WV, 26750</t>
  </si>
  <si>
    <t>128 KNOBLEY RD, KEYSER, WV, 26726</t>
  </si>
  <si>
    <t>51 ASHFIELD ST, PIEDMONT, WV, 26750</t>
  </si>
  <si>
    <t>1234 NEW CREEK HWY, KEYSER, WV, 26726</t>
  </si>
  <si>
    <t>4404 NEW CREEK HWY, NEW CREEK, WV, 26743</t>
  </si>
  <si>
    <t>9862 FRANKFORT HWY, FORT ASHBY, WV, 26719</t>
  </si>
  <si>
    <t>2266 NORTHWESTERN TPKE, BURLINGTON, WV, 26710</t>
  </si>
  <si>
    <t>558 SWAN POND RD, WILEY FORD, WV, 26767</t>
  </si>
  <si>
    <t>3232 PATTERSON CREEK VILLAGE PIKE, RIDGELEY, WV, 26753</t>
  </si>
  <si>
    <t>39 WAL MART DR, KEYSER, WV, 26726</t>
  </si>
  <si>
    <t>13 ELMWOOD ST, FORT ASHBY, WV, 26719</t>
  </si>
  <si>
    <t>114 ASHFIELD ST, PIEDMONT, WV, 26750</t>
  </si>
  <si>
    <t>107 WEST ST, KEYSER, WV, 26726</t>
  </si>
  <si>
    <t>95 N MAIN ST, KEYSER, WV, 26726</t>
  </si>
  <si>
    <t>63 ASHFIELD ST, PIEDMONT, WV, 26750</t>
  </si>
  <si>
    <t>116 EAST ST, KEYSER, WV, 26726</t>
  </si>
  <si>
    <t>65 SMALL WORLD DR, FORT ASHBY, WV, 26719</t>
  </si>
  <si>
    <t>4070 PATTERSON CREEK VILLAGE PIKE, RIDGELEY, WV, 26753</t>
  </si>
  <si>
    <t>3017 BAYBERRY DR, KEYSER, WV, 26726</t>
  </si>
  <si>
    <t>4032 BAYBERRY DR, KEYSER, WV, 26726</t>
  </si>
  <si>
    <t>59 ASHFIELD ST, PIEDMONT, WV, 26750</t>
  </si>
  <si>
    <t>3663 PATTERSON CREEK VILLAGE PIKE, RIDGELEY, WV, 26753</t>
  </si>
  <si>
    <t>161 AVALON DR, KEYSER, WV, 26726</t>
  </si>
  <si>
    <t>114 PLAZA DR, KEYSER, WV, 26726</t>
  </si>
  <si>
    <t>1005 BAYBERRY DR, KEYSER, WV, 26726</t>
  </si>
  <si>
    <t>5033 BAYBERRY DR, KEYSER, WV, 26726</t>
  </si>
  <si>
    <t>9063 BAYBERRY DR, KEYSER, WV, 26726</t>
  </si>
  <si>
    <t>1714 PATTERSON CREEK VILLAGE PIKE, RIDGELEY, WV, 26753</t>
  </si>
  <si>
    <t>1535 EBERT RD, BURLINGTON, WV, 26710</t>
  </si>
  <si>
    <t>USA</t>
  </si>
  <si>
    <t>POTOMAC VALLEY HOSPITAL OF W VA</t>
  </si>
  <si>
    <t>ALLIANT TECHSYSTEMS INC ATTN:TAX DEPT-M/S 11163A</t>
  </si>
  <si>
    <t>BANK BRANCH BANKING &amp; TRUST CO</t>
  </si>
  <si>
    <t>CITY OF PIEDMONT HOUSING AUTHORITY</t>
  </si>
  <si>
    <t>MINERAL COUNTY OF</t>
  </si>
  <si>
    <t>MEADWESTVACO MARYLAND INC</t>
  </si>
  <si>
    <t>CHURCH KEYSER ASSEMBLY OF GOD</t>
  </si>
  <si>
    <t>MINERAL COUNTY COURT</t>
  </si>
  <si>
    <t>CHURCH FIRST METHODIST</t>
  </si>
  <si>
    <t>W VA DEPT OF HIGHWAYS A CORP</t>
  </si>
  <si>
    <t>CHURCH BEREAN IND BAPTIST JERRY SHANHOLTZ ETAL TRUSTEES</t>
  </si>
  <si>
    <t>WEST VIRGINIA RNE LLC</t>
  </si>
  <si>
    <t>FIRE CO BURLINGTON</t>
  </si>
  <si>
    <t>KESSEL LAND CO LLC</t>
  </si>
  <si>
    <t>JKR LLC</t>
  </si>
  <si>
    <t>CHURCH BRETHREN KEYSER</t>
  </si>
  <si>
    <t>FIRE COMPANY NEW CREEK</t>
  </si>
  <si>
    <t>KEYSER INN, INC</t>
  </si>
  <si>
    <t>MINERAL COUNTY COMMISSION</t>
  </si>
  <si>
    <t>HALE PROPERTIES LLC</t>
  </si>
  <si>
    <t>STEICO INC</t>
  </si>
  <si>
    <t>CHURCH TRINITY METHODIST</t>
  </si>
  <si>
    <t>L &amp; S INVESTMENT PROPERTIES LLC</t>
  </si>
  <si>
    <t>SLANES PROPERTY LLC</t>
  </si>
  <si>
    <t>BANK GRANT COUNTY</t>
  </si>
  <si>
    <t>FIRE CO SHORT GAP</t>
  </si>
  <si>
    <t>BANK FIRST NATIONAL PIEDMONT</t>
  </si>
  <si>
    <t>WST LLC</t>
  </si>
  <si>
    <t>CHURCH METHODIST REES UM</t>
  </si>
  <si>
    <t>GARRETT ROGER L</t>
  </si>
  <si>
    <t>JOHNSON GREGORY L &amp;/OR KAREN S</t>
  </si>
  <si>
    <t>FRANKFORT PUBLIC SERVICE DISTRICT</t>
  </si>
  <si>
    <t>CDR REAL ESTATE LLC</t>
  </si>
  <si>
    <t>PYLES THOMAS E</t>
  </si>
  <si>
    <t>CHURCH OF GOD OF PIEDMONT TRUSTEES</t>
  </si>
  <si>
    <t>MINERAL COUNTY BLDG COMMISSION</t>
  </si>
  <si>
    <t>A F &amp; A M DAVIS LODGE NO 51</t>
  </si>
  <si>
    <t>CHURCH PRESBYTERIAN</t>
  </si>
  <si>
    <t>BRASS RAIL REALTY LLC</t>
  </si>
  <si>
    <t>G &amp; M GRANITE LLC</t>
  </si>
  <si>
    <t>FIRE CO PATTERSON CREEK VOL</t>
  </si>
  <si>
    <t>BAYBERRY PLACE LIMITED PARTNERSHIP</t>
  </si>
  <si>
    <t>AMORUSO SAMUEL R JR &amp; JOSEPH J &amp; JOHN E</t>
  </si>
  <si>
    <t>WELKER LLOYD M JR &amp; OR MARY MARGARET</t>
  </si>
  <si>
    <t>BAKER LOUDON DAY II</t>
  </si>
  <si>
    <t>FIRST PEOPLES COMMUNITY FEDERAL CREDIT UNION</t>
  </si>
  <si>
    <t>EAGLES NEST CAMPGROUND LLC</t>
  </si>
  <si>
    <t>CRYSER CHARLES F JR &amp;/OR JULIE M</t>
  </si>
  <si>
    <t>1910</t>
  </si>
  <si>
    <t>1926</t>
  </si>
  <si>
    <t>1901</t>
  </si>
  <si>
    <t>COM6</t>
  </si>
  <si>
    <t>RES3C</t>
  </si>
  <si>
    <t>5</t>
  </si>
  <si>
    <t>117852</t>
  </si>
  <si>
    <t>63615</t>
  </si>
  <si>
    <t>161158</t>
  </si>
  <si>
    <t>56820</t>
  </si>
  <si>
    <t>148902</t>
  </si>
  <si>
    <t>104249</t>
  </si>
  <si>
    <t>7845</t>
  </si>
  <si>
    <t>36862</t>
  </si>
  <si>
    <t>15578</t>
  </si>
  <si>
    <t>27620</t>
  </si>
  <si>
    <t>9049</t>
  </si>
  <si>
    <t>10754</t>
  </si>
  <si>
    <t>10848</t>
  </si>
  <si>
    <t>15376</t>
  </si>
  <si>
    <t>7250</t>
  </si>
  <si>
    <t>9301</t>
  </si>
  <si>
    <t>11021</t>
  </si>
  <si>
    <t>19754</t>
  </si>
  <si>
    <t>18000</t>
  </si>
  <si>
    <t>9435</t>
  </si>
  <si>
    <t>9370</t>
  </si>
  <si>
    <t>9064</t>
  </si>
  <si>
    <t>17928</t>
  </si>
  <si>
    <t>7330</t>
  </si>
  <si>
    <t>7248</t>
  </si>
  <si>
    <t>13264</t>
  </si>
  <si>
    <t>5840</t>
  </si>
  <si>
    <t>5708</t>
  </si>
  <si>
    <t>9750</t>
  </si>
  <si>
    <t>27600</t>
  </si>
  <si>
    <t>3177</t>
  </si>
  <si>
    <t>3036</t>
  </si>
  <si>
    <t>16979</t>
  </si>
  <si>
    <t>9080</t>
  </si>
  <si>
    <t>4658</t>
  </si>
  <si>
    <t>3312</t>
  </si>
  <si>
    <t>3369</t>
  </si>
  <si>
    <t>9012</t>
  </si>
  <si>
    <t>6716</t>
  </si>
  <si>
    <t>3618</t>
  </si>
  <si>
    <t>9840</t>
  </si>
  <si>
    <t>4194</t>
  </si>
  <si>
    <t>7135</t>
  </si>
  <si>
    <t>15480</t>
  </si>
  <si>
    <t>19100</t>
  </si>
  <si>
    <t>4480</t>
  </si>
  <si>
    <t>11350</t>
  </si>
  <si>
    <t>2461</t>
  </si>
  <si>
    <t>7168</t>
  </si>
  <si>
    <t>1633</t>
  </si>
  <si>
    <t>2803</t>
  </si>
  <si>
    <t>1690</t>
  </si>
  <si>
    <t>6688</t>
  </si>
  <si>
    <t>3170</t>
  </si>
  <si>
    <t>PENDLETON</t>
  </si>
  <si>
    <t>36-01-045A-0001-0000_11480</t>
  </si>
  <si>
    <t>36-03-0039-0006-0001_100</t>
  </si>
  <si>
    <t>36-07-0051-0002-0000_1232</t>
  </si>
  <si>
    <t>36-07-063A-9999-9999_56</t>
  </si>
  <si>
    <t>36-06-0002-0006-0000_45</t>
  </si>
  <si>
    <t>36-07-0049-0002-0004_261</t>
  </si>
  <si>
    <t>36-03-0020-0039-0001_69</t>
  </si>
  <si>
    <t>36-04-0004-0059-0005_338</t>
  </si>
  <si>
    <t>36-06-0002-0006-0000_135</t>
  </si>
  <si>
    <t>36-04-0004-0060-0000_108</t>
  </si>
  <si>
    <t>36-04-0004-0059-0004_365</t>
  </si>
  <si>
    <t>36-06-0002-0006-0000_74</t>
  </si>
  <si>
    <t>36-07-0035-0016-0000_13</t>
  </si>
  <si>
    <t>36-07-0026-0022-0000_46</t>
  </si>
  <si>
    <t>36-01-0045-0033-0003_279</t>
  </si>
  <si>
    <t>36-04-0004-0059-0000_319</t>
  </si>
  <si>
    <t>36-03-0014-0035-0009_2117</t>
  </si>
  <si>
    <t>36-03-0019-0008-0000_937</t>
  </si>
  <si>
    <t>36-07-063A-9999-9999_40</t>
  </si>
  <si>
    <t>36-07-0003-0002-0000_30741A</t>
  </si>
  <si>
    <t>36-07-0067-0003-0000_114</t>
  </si>
  <si>
    <t>36-07-0038-0018-0000_21500</t>
  </si>
  <si>
    <t>36-02-0004-0004-0000_367</t>
  </si>
  <si>
    <t>36-02-0023-0041-0003_10855</t>
  </si>
  <si>
    <t>36-06-0022-0027-0000_10413</t>
  </si>
  <si>
    <t>36-07-0026-0007-0000_470</t>
  </si>
  <si>
    <t>36-07-0038-0001-0000_21574</t>
  </si>
  <si>
    <t>36-04-0004-0061-0001_239</t>
  </si>
  <si>
    <t>36-05-0021-0003-0000_2889</t>
  </si>
  <si>
    <t>36-06-0002-0006-0000_107</t>
  </si>
  <si>
    <t>36-03-0039-0012-0000_293</t>
  </si>
  <si>
    <t>36-07-0026-0006-0000_548</t>
  </si>
  <si>
    <t>36-03-0031-0010-0000_187</t>
  </si>
  <si>
    <t>36-03-0037-0001-0015_5456</t>
  </si>
  <si>
    <t>36-02-0030-0001-0000_1774</t>
  </si>
  <si>
    <t>36-02-0011-0002-0000_1848</t>
  </si>
  <si>
    <t>36-02-014A-0029-0000_23</t>
  </si>
  <si>
    <t>36-03-0061-0001-0000_187</t>
  </si>
  <si>
    <t>36-03-019A-0029-0001_38</t>
  </si>
  <si>
    <t>36-04-0004-0030-0001_79</t>
  </si>
  <si>
    <t>Pendleton County</t>
  </si>
  <si>
    <t>Town of Franklin</t>
  </si>
  <si>
    <t>South Fork South Branch Potomac River</t>
  </si>
  <si>
    <t>Friends Run</t>
  </si>
  <si>
    <t>Trout Run</t>
  </si>
  <si>
    <t>Seneca Creek</t>
  </si>
  <si>
    <t>Smith Creek</t>
  </si>
  <si>
    <t>36-01-045A-0001-0000</t>
  </si>
  <si>
    <t>36-03-0039-0006-0001</t>
  </si>
  <si>
    <t>36-07-0051-0002-0000</t>
  </si>
  <si>
    <t>36-07-063A-9999-9999</t>
  </si>
  <si>
    <t>36-06-0002-0006-0000</t>
  </si>
  <si>
    <t>36-07-0049-0002-0004</t>
  </si>
  <si>
    <t>36-03-0020-0039-0001</t>
  </si>
  <si>
    <t>36-04-0004-0059-0005</t>
  </si>
  <si>
    <t>36-04-0004-0060-0000</t>
  </si>
  <si>
    <t>36-04-0004-0059-0004</t>
  </si>
  <si>
    <t>36-07-0035-0016-0000</t>
  </si>
  <si>
    <t>36-07-0026-0022-0000</t>
  </si>
  <si>
    <t>36-01-0045-0033-0003</t>
  </si>
  <si>
    <t>36-04-0004-0059-0000</t>
  </si>
  <si>
    <t>36-03-0014-0035-0009</t>
  </si>
  <si>
    <t>36-03-0019-0008-0000</t>
  </si>
  <si>
    <t>36-07-0003-0002-0000</t>
  </si>
  <si>
    <t>36-07-0067-0003-0000</t>
  </si>
  <si>
    <t>36-07-0038-0018-0000</t>
  </si>
  <si>
    <t>36-02-0004-0004-0000</t>
  </si>
  <si>
    <t>36-02-0023-0041-0003</t>
  </si>
  <si>
    <t>36-06-0022-0027-0000</t>
  </si>
  <si>
    <t>36-07-0026-0007-0000</t>
  </si>
  <si>
    <t>36-07-0038-0001-0000</t>
  </si>
  <si>
    <t>36-04-0004-0061-0001</t>
  </si>
  <si>
    <t>36-05-0021-0003-0000</t>
  </si>
  <si>
    <t>36-03-0039-0012-0000</t>
  </si>
  <si>
    <t>36-07-0026-0006-0000</t>
  </si>
  <si>
    <t>36-03-0031-0010-0000</t>
  </si>
  <si>
    <t>36-03-0037-0001-0015</t>
  </si>
  <si>
    <t>36-02-0030-0001-0000</t>
  </si>
  <si>
    <t>36-02-0011-0002-0000</t>
  </si>
  <si>
    <t>36-02-014A-0029-0000</t>
  </si>
  <si>
    <t>36-03-0061-0001-0000</t>
  </si>
  <si>
    <t>36-03-019A-0029-0001</t>
  </si>
  <si>
    <t>36-04-0004-0030-0001</t>
  </si>
  <si>
    <t>11480 BLUE GRAY TRL, Milam, WV, 26838</t>
  </si>
  <si>
    <t>100 SUITE 100 THORN CREEK RD, FRANKLIN, WV, 26807</t>
  </si>
  <si>
    <t>1232 GERMANY VALLEY LIMESTONE RD, RIVERTON, WV, 26814</t>
  </si>
  <si>
    <t>56 TUSCARORA LN, RIVERTON, WV, 26814</t>
  </si>
  <si>
    <t>45 SMITH ST, SUGAR GROVE, WV, 26815</t>
  </si>
  <si>
    <t>261 GERMANY VALLEY LIMESTONE RD, RIVERTON, WV, 26814</t>
  </si>
  <si>
    <t>69 MOUNTAINEER DR, FRANKLIN, WV, 26807</t>
  </si>
  <si>
    <t>338 MILL RD, FRANKLIN, WV, 26807</t>
  </si>
  <si>
    <t>135 HEDRICK DR, SUGAR GROVE, WV, 26815</t>
  </si>
  <si>
    <t>108 CONFEDERATE RD, FRANKLIN, WV, 26807</t>
  </si>
  <si>
    <t>365 MILL RD, FRANKLIN, WV, 26807</t>
  </si>
  <si>
    <t>74 MITCHELL DR, SUGAR GROVE, WV, 26815</t>
  </si>
  <si>
    <t>13 ROY GAP RD, SENECA ROCKS, WV, 26884</t>
  </si>
  <si>
    <t>46 LODESTAR LN, SENECA ROCKS, WV, 26884</t>
  </si>
  <si>
    <t>279 SUGAR GROVE RD, BRANDYWINE, WV, 26802</t>
  </si>
  <si>
    <t>319 MILL RD, FRANKLIN, WV, 26807</t>
  </si>
  <si>
    <t>2117 BLUE GRAY TRL, FRANKLIN, WV, 26807</t>
  </si>
  <si>
    <t>937 NORTH MAIN ST, FRANKLIN, WV, 26807</t>
  </si>
  <si>
    <t>40 TUSCARORA LN, RIVERTON, WV, 26814</t>
  </si>
  <si>
    <t>30741A MOUNTAINEER DR, SENECA ROCKS, WV, 26884</t>
  </si>
  <si>
    <t>114 WOODBURN DR, RIVERTON, WV, 26814</t>
  </si>
  <si>
    <t>21500 MOUNTAINEER DR, RIVERTON, WV, 26814</t>
  </si>
  <si>
    <t>367 MOUNT FREEDOM DR, RIVERTON, WV, 26814</t>
  </si>
  <si>
    <t>10855 SNOWY MOUNTAIN RD, CIRCLEVILLE, WV, 26804</t>
  </si>
  <si>
    <t>10413 SUGAR GROVE RD, SUGAR GROVE, WV, 26815</t>
  </si>
  <si>
    <t>470 ALLEGHENY DR, SENECA ROCKS, WV, 26884</t>
  </si>
  <si>
    <t>21574 MOUNTAINEER DR, RIVERTON, WV, 26814</t>
  </si>
  <si>
    <t>239 MILL RD, FRANKLIN, WV, 26807</t>
  </si>
  <si>
    <t>2889 SMOKE HOLE RD, UPPER TRACT, WV, 26866</t>
  </si>
  <si>
    <t>107 HEDRICK DR, SUGAR GROVE, WV, 26815</t>
  </si>
  <si>
    <t>293 THORN CREEK RD, FRANKLIN, WV, 26807</t>
  </si>
  <si>
    <t>548 ALLEGHENY DR, SENECA ROCKS, WV, 26884</t>
  </si>
  <si>
    <t>187 HARMAN LN, FRANKLIN, WV, 26807</t>
  </si>
  <si>
    <t>5456 SMITH CREEK RD, FRANKLIN, WV, 26807</t>
  </si>
  <si>
    <t>1774 UPPER NORTH FORK RD, CIRCLEVILLE, WV, 26804</t>
  </si>
  <si>
    <t>1848 MOUNT FREEDOM DR, RIVERTON, WV, 26814</t>
  </si>
  <si>
    <t>23 UPPER TIMBER RIDGE RD, RIVERTON, WV, 26814</t>
  </si>
  <si>
    <t>187 LEONARD LN, FRANKLIN, WV, 26807</t>
  </si>
  <si>
    <t>38 OLD RIVER RD, FRANKLIN, WV, 26807</t>
  </si>
  <si>
    <t>79 MILL RD, FRANKLIN, WV, 26807</t>
  </si>
  <si>
    <t>Draft A</t>
  </si>
  <si>
    <t>Draft AE</t>
  </si>
  <si>
    <t>BOARD OF EDUCATION BRANDYWINE</t>
  </si>
  <si>
    <t>PENDLETON COUNTY ECONOMIC &amp; COMMUNITY DEVELOPMENT AUTHORIT</t>
  </si>
  <si>
    <t>GREER STEEL CO</t>
  </si>
  <si>
    <t>SUGAR GROVE LLC</t>
  </si>
  <si>
    <t>HINKLE GARY L</t>
  </si>
  <si>
    <t>WARNER JERRY M &amp; WARNER DOTTIE L</t>
  </si>
  <si>
    <t>WHISPERING SYCAMORES LLC</t>
  </si>
  <si>
    <t>TREASURE MTN FESTIVAL ASSOC</t>
  </si>
  <si>
    <t>PENDLETON COUNTY COMMITTEE ON AGING INC</t>
  </si>
  <si>
    <t>YOKUM SHIRLEY B</t>
  </si>
  <si>
    <t>SOUTH FORK VOLUNTEER FIRE DEPT. INC</t>
  </si>
  <si>
    <t>PENDLETON CO COMMISSION</t>
  </si>
  <si>
    <t>TRUSTEES OF LIVING FAITH CHURCH</t>
  </si>
  <si>
    <t>THOMPSON MOTEL INC</t>
  </si>
  <si>
    <t>KISAMORE DENTON</t>
  </si>
  <si>
    <t>LAMBERT STEVEN D &amp; MELISSA J</t>
  </si>
  <si>
    <t>THOMPSON BERNICE</t>
  </si>
  <si>
    <t>HARPER KENNETH P &amp; LORETTA J TRUSTEES</t>
  </si>
  <si>
    <t>COLAW JEREMY &amp; WENDY ACT#1568782</t>
  </si>
  <si>
    <t>HOMAN JAMES REID ESTATE</t>
  </si>
  <si>
    <t>HINKLE TRUCKING INC</t>
  </si>
  <si>
    <t>COOPER RODNEY &amp; ANGELA D</t>
  </si>
  <si>
    <t>TREASURE MT FESTIVAL ASC</t>
  </si>
  <si>
    <t>ROMITI LORENZO &amp; LINDA A TRUSTEES OF TRUST</t>
  </si>
  <si>
    <t>TAYLOR DANIEL</t>
  </si>
  <si>
    <t>PRESBY CH TRUSTEE</t>
  </si>
  <si>
    <t>HARMAN JOHN TRUST &amp; HARMAN PAULINE R TRUST</t>
  </si>
  <si>
    <t>PROPST DWAYNE KAREN</t>
  </si>
  <si>
    <t>ARMENTROUT MARY VA - LE</t>
  </si>
  <si>
    <t>DAUGHTRY JACQUELINE ANN W</t>
  </si>
  <si>
    <t>MCCONNELL EUGENE C &amp; JOAN M</t>
  </si>
  <si>
    <t>PADGETT CHARLES A JR &amp;  JUNE T</t>
  </si>
  <si>
    <t>HAHN JERRY M</t>
  </si>
  <si>
    <t>MONONGAHELA POWER CO</t>
  </si>
  <si>
    <t>1968</t>
  </si>
  <si>
    <t>1958</t>
  </si>
  <si>
    <t>1908</t>
  </si>
  <si>
    <t>1918</t>
  </si>
  <si>
    <t>1812</t>
  </si>
  <si>
    <t>IND4</t>
  </si>
  <si>
    <t>35000</t>
  </si>
  <si>
    <t>94200</t>
  </si>
  <si>
    <t>57462</t>
  </si>
  <si>
    <t>5593</t>
  </si>
  <si>
    <t>19152</t>
  </si>
  <si>
    <t>25270</t>
  </si>
  <si>
    <t>18425</t>
  </si>
  <si>
    <t>31522</t>
  </si>
  <si>
    <t>14988</t>
  </si>
  <si>
    <t>11700</t>
  </si>
  <si>
    <t>9520</t>
  </si>
  <si>
    <t>5600</t>
  </si>
  <si>
    <t>22625</t>
  </si>
  <si>
    <t>10200</t>
  </si>
  <si>
    <t>32000</t>
  </si>
  <si>
    <t>15444</t>
  </si>
  <si>
    <t>2293</t>
  </si>
  <si>
    <t>33600</t>
  </si>
  <si>
    <t>4428</t>
  </si>
  <si>
    <t>1594</t>
  </si>
  <si>
    <t>2722</t>
  </si>
  <si>
    <t>3392</t>
  </si>
  <si>
    <t>3724</t>
  </si>
  <si>
    <t>4074</t>
  </si>
  <si>
    <t>2574</t>
  </si>
  <si>
    <t>8256</t>
  </si>
  <si>
    <t>5320</t>
  </si>
  <si>
    <t>2755</t>
  </si>
  <si>
    <t>2638</t>
  </si>
  <si>
    <t>3368</t>
  </si>
  <si>
    <t>2594</t>
  </si>
  <si>
    <t>2318</t>
  </si>
  <si>
    <t>4200</t>
  </si>
  <si>
    <t>10080</t>
  </si>
  <si>
    <t>(Higher than $500,000)</t>
  </si>
  <si>
    <t>Keyser</t>
  </si>
  <si>
    <t>Piedmont</t>
  </si>
  <si>
    <t>Mineral County*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</si>
</sst>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"/>
    <numFmt numFmtId="166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2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0" fillId="3" borderId="1" xfId="0" applyFill="1" applyBorder="1"/>
    <xf numFmtId="0" fontId="5" fillId="5" borderId="0" xfId="0" applyFont="1" applyFill="1"/>
    <xf numFmtId="0" fontId="0" fillId="6" borderId="0" xfId="0" applyFill="1"/>
    <xf numFmtId="0" fontId="0" fillId="0" borderId="0" xfId="0" applyAlignment="1">
      <alignment horizontal="center"/>
    </xf>
    <xf numFmtId="164" fontId="0" fillId="4" borderId="0" xfId="2" applyNumberFormat="1" applyFont="1" applyFill="1"/>
    <xf numFmtId="165" fontId="0" fillId="0" borderId="0" xfId="0" applyNumberFormat="1" applyAlignment="1">
      <alignment horizontal="center"/>
    </xf>
    <xf numFmtId="9" fontId="0" fillId="0" borderId="0" xfId="3" applyFont="1" applyAlignment="1">
      <alignment horizontal="center"/>
    </xf>
    <xf numFmtId="164" fontId="0" fillId="0" borderId="0" xfId="2" applyNumberFormat="1" applyFont="1"/>
    <xf numFmtId="14" fontId="0" fillId="0" borderId="0" xfId="0" applyNumberFormat="1" applyAlignment="1">
      <alignment horizontal="left"/>
    </xf>
    <xf numFmtId="0" fontId="6" fillId="0" borderId="0" xfId="0" applyFont="1"/>
    <xf numFmtId="0" fontId="7" fillId="6" borderId="0" xfId="0" applyFont="1" applyFill="1" applyAlignment="1">
      <alignment horizontal="center"/>
    </xf>
    <xf numFmtId="0" fontId="3" fillId="0" borderId="0" xfId="1" applyAlignment="1" applyProtection="1"/>
    <xf numFmtId="0" fontId="8" fillId="0" borderId="0" xfId="0" applyFont="1" applyAlignment="1">
      <alignment horizontal="center"/>
    </xf>
    <xf numFmtId="0" fontId="3" fillId="0" borderId="0" xfId="1" applyAlignment="1" applyProtection="1">
      <alignment horizontal="center"/>
    </xf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2" fillId="4" borderId="1" xfId="2" applyNumberFormat="1" applyFont="1" applyFill="1" applyBorder="1" applyAlignment="1">
      <alignment horizontal="center" vertical="center" wrapText="1"/>
    </xf>
    <xf numFmtId="164" fontId="0" fillId="0" borderId="1" xfId="2" applyNumberFormat="1" applyFont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3" fillId="0" borderId="1" xfId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 wrapText="1"/>
    </xf>
    <xf numFmtId="166" fontId="0" fillId="0" borderId="1" xfId="3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164" fontId="9" fillId="4" borderId="1" xfId="2" applyNumberFormat="1" applyFont="1" applyFill="1" applyBorder="1"/>
    <xf numFmtId="165" fontId="9" fillId="0" borderId="1" xfId="0" applyNumberFormat="1" applyFont="1" applyFill="1" applyBorder="1" applyAlignment="1">
      <alignment horizontal="center"/>
    </xf>
    <xf numFmtId="166" fontId="9" fillId="0" borderId="1" xfId="3" applyNumberFormat="1" applyFont="1" applyFill="1" applyBorder="1" applyAlignment="1">
      <alignment horizontal="center"/>
    </xf>
    <xf numFmtId="164" fontId="9" fillId="0" borderId="1" xfId="2" applyNumberFormat="1" applyFont="1" applyBorder="1"/>
    <xf numFmtId="164" fontId="1" fillId="0" borderId="0" xfId="2" applyNumberFormat="1" applyFont="1" applyFill="1" applyAlignment="1">
      <alignment horizontal="center"/>
    </xf>
    <xf numFmtId="0" fontId="12" fillId="3" borderId="1" xfId="0" applyFont="1" applyFill="1" applyBorder="1" applyAlignment="1">
      <alignment horizontal="center" vertical="center" wrapText="1"/>
    </xf>
    <xf numFmtId="164" fontId="13" fillId="4" borderId="1" xfId="2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164" fontId="0" fillId="4" borderId="0" xfId="2" applyNumberFormat="1" applyFont="1" applyFill="1" applyBorder="1"/>
    <xf numFmtId="0" fontId="0" fillId="0" borderId="0" xfId="0" applyFont="1"/>
    <xf numFmtId="0" fontId="14" fillId="0" borderId="1" xfId="1" applyFont="1" applyBorder="1" applyAlignment="1">
      <alignment horizontal="center"/>
    </xf>
    <xf numFmtId="0" fontId="10" fillId="3" borderId="1" xfId="0" applyFont="1" applyFill="1" applyBorder="1"/>
    <xf numFmtId="164" fontId="11" fillId="4" borderId="1" xfId="2" applyNumberFormat="1" applyFont="1" applyFill="1" applyBorder="1"/>
    <xf numFmtId="0" fontId="0" fillId="0" borderId="1" xfId="0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1" fillId="0" borderId="1" xfId="0" applyFont="1" applyBorder="1"/>
    <xf numFmtId="0" fontId="10" fillId="0" borderId="0" xfId="0" applyFont="1"/>
    <xf numFmtId="0" fontId="15" fillId="0" borderId="0" xfId="0" applyFont="1" applyAlignment="1">
      <alignment vertical="center"/>
    </xf>
    <xf numFmtId="0" fontId="9" fillId="0" borderId="1" xfId="0" applyFont="1" applyFill="1" applyBorder="1"/>
  </cellXfs>
  <cellStyles count="4">
    <cellStyle name="Currency" xfId="2" builtinId="4"/>
    <cellStyle name="Hyperlink" xfId="1" builtinId="8"/>
    <cellStyle name="Normal" xfId="0" builtinId="0"/>
    <cellStyle name="Percent" xfId="3" builtinId="5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2F2F2"/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wvgis.wvu.edu/pub/RA/_resources/FRA/Basement-Foundation_Types-FFH_Reference.xlsx" TargetMode="External"/><Relationship Id="rId2" Type="http://schemas.openxmlformats.org/officeDocument/2006/relationships/hyperlink" Target="https://data.wvgis.wvu.edu/pub/RA/_resources/FRA/Occupancy_Class_Types_Reference.xlsx" TargetMode="External"/><Relationship Id="rId1" Type="http://schemas.openxmlformats.org/officeDocument/2006/relationships/hyperlink" Target="https://data.wvgis.wvu.edu/pub/RA/_resources/FRA/CL-FRA_Bldg_FIRM-Status_Freeboard_FloodStudies.xls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wvgis.wvu.edu/pub/RA/_resources/FRA/Basement-Foundation_Types-FFH_Reference.xlsx" TargetMode="External"/><Relationship Id="rId2" Type="http://schemas.openxmlformats.org/officeDocument/2006/relationships/hyperlink" Target="https://data.wvgis.wvu.edu/pub/RA/_resources/FRA/Occupancy_Class_Types_Reference.xlsx" TargetMode="External"/><Relationship Id="rId1" Type="http://schemas.openxmlformats.org/officeDocument/2006/relationships/hyperlink" Target="https://data.wvgis.wvu.edu/pub/RA/_resources/FRA/CL-FRA_Bldg_FIRM-Status_Freeboard_FloodStudies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wvgis.wvu.edu/pub/RA/_resources/FRA/Basement-Foundation_Types-FFH_Reference.xlsx" TargetMode="External"/><Relationship Id="rId2" Type="http://schemas.openxmlformats.org/officeDocument/2006/relationships/hyperlink" Target="https://data.wvgis.wvu.edu/pub/RA/_resources/FRA/Occupancy_Class_Types_Reference.xlsx" TargetMode="External"/><Relationship Id="rId1" Type="http://schemas.openxmlformats.org/officeDocument/2006/relationships/hyperlink" Target="https://data.wvgis.wvu.edu/pub/RA/_resources/FRA/CL-FRA_Bldg_FIRM-Status_Freeboard_FloodStudies.xls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wvgis.wvu.edu/pub/RA/_resources/FRA/Basement-Foundation_Types-FFH_Reference.xlsx" TargetMode="External"/><Relationship Id="rId2" Type="http://schemas.openxmlformats.org/officeDocument/2006/relationships/hyperlink" Target="https://data.wvgis.wvu.edu/pub/RA/_resources/FRA/Occupancy_Class_Types_Reference.xlsx" TargetMode="External"/><Relationship Id="rId1" Type="http://schemas.openxmlformats.org/officeDocument/2006/relationships/hyperlink" Target="https://data.wvgis.wvu.edu/pub/RA/_resources/FRA/CL-FRA_Bldg_FIRM-Status_Freeboard_FloodStudies.xls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wvgis.wvu.edu/pub/RA/_resources/FRA/Basement-Foundation_Types-FFH_Reference.xlsx" TargetMode="External"/><Relationship Id="rId2" Type="http://schemas.openxmlformats.org/officeDocument/2006/relationships/hyperlink" Target="https://data.wvgis.wvu.edu/pub/RA/_resources/FRA/Occupancy_Class_Types_Reference.xlsx" TargetMode="External"/><Relationship Id="rId1" Type="http://schemas.openxmlformats.org/officeDocument/2006/relationships/hyperlink" Target="https://data.wvgis.wvu.edu/pub/RA/_resources/FRA/CL-FRA_Bldg_FIRM-Status_Freeboard_FloodStudies.xls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6CF64-6C21-466C-B996-AFE0E24947D2}">
  <dimension ref="A1:X59"/>
  <sheetViews>
    <sheetView tabSelected="1" workbookViewId="0">
      <pane ySplit="6" topLeftCell="A7" activePane="bottomLeft" state="frozen"/>
      <selection pane="bottomLeft" activeCell="B4" sqref="B4"/>
    </sheetView>
  </sheetViews>
  <sheetFormatPr defaultRowHeight="14.4" x14ac:dyDescent="0.3"/>
  <cols>
    <col min="1" max="1" width="33.88671875" bestFit="1" customWidth="1"/>
    <col min="2" max="2" width="21.44140625" bestFit="1" customWidth="1"/>
    <col min="7" max="7" width="11.33203125" customWidth="1"/>
    <col min="13" max="13" width="12.5546875" customWidth="1"/>
    <col min="14" max="14" width="14.21875" bestFit="1" customWidth="1"/>
    <col min="17" max="17" width="10.5546875" customWidth="1"/>
    <col min="19" max="19" width="21.77734375" bestFit="1" customWidth="1"/>
    <col min="24" max="24" width="9.5546875" customWidth="1"/>
  </cols>
  <sheetData>
    <row r="1" spans="1:24" ht="14.25" customHeight="1" x14ac:dyDescent="0.3">
      <c r="A1" s="4" t="s">
        <v>64</v>
      </c>
      <c r="B1" s="4"/>
      <c r="C1" s="4"/>
      <c r="D1" s="4"/>
      <c r="F1" s="17" t="s">
        <v>65</v>
      </c>
      <c r="G1" s="6"/>
      <c r="H1" s="6"/>
      <c r="J1" s="6"/>
      <c r="K1" s="6"/>
      <c r="L1" s="6"/>
      <c r="N1" s="5" t="s">
        <v>66</v>
      </c>
      <c r="O1" s="6"/>
      <c r="P1" s="6"/>
      <c r="R1" s="6"/>
      <c r="S1" s="7" t="s">
        <v>67</v>
      </c>
      <c r="U1" s="8"/>
      <c r="V1" s="8"/>
      <c r="W1" s="9"/>
      <c r="X1" s="10"/>
    </row>
    <row r="2" spans="1:24" x14ac:dyDescent="0.3">
      <c r="A2" s="11">
        <v>44580</v>
      </c>
      <c r="B2" s="12" t="s">
        <v>68</v>
      </c>
      <c r="F2" s="6"/>
      <c r="G2" s="6"/>
      <c r="H2" s="6"/>
      <c r="J2" s="6"/>
      <c r="K2" s="6"/>
      <c r="L2" s="6"/>
      <c r="N2" s="13" t="s">
        <v>40</v>
      </c>
      <c r="O2" s="6"/>
      <c r="P2" s="6"/>
      <c r="R2" s="6"/>
      <c r="S2" s="39"/>
      <c r="U2" s="8"/>
      <c r="V2" s="8"/>
      <c r="W2" s="9"/>
      <c r="X2" s="10"/>
    </row>
    <row r="3" spans="1:24" x14ac:dyDescent="0.3">
      <c r="A3" t="s">
        <v>70</v>
      </c>
      <c r="B3" s="40"/>
      <c r="F3" s="6"/>
      <c r="G3" s="6"/>
      <c r="H3" s="6"/>
      <c r="J3" s="16" t="s">
        <v>69</v>
      </c>
      <c r="K3" s="6"/>
      <c r="L3" s="6"/>
      <c r="M3" s="14" t="s">
        <v>69</v>
      </c>
      <c r="N3" s="5"/>
      <c r="O3" s="6"/>
      <c r="P3" s="6"/>
      <c r="Q3" s="14" t="s">
        <v>69</v>
      </c>
      <c r="R3" s="15"/>
      <c r="S3" s="39"/>
      <c r="U3" s="8"/>
      <c r="V3" s="8"/>
      <c r="W3" s="9"/>
      <c r="X3" s="10"/>
    </row>
    <row r="4" spans="1:24" x14ac:dyDescent="0.3">
      <c r="F4" s="6"/>
      <c r="G4" s="6"/>
      <c r="H4" s="6"/>
      <c r="J4" s="6"/>
      <c r="K4" s="6"/>
      <c r="L4" s="6"/>
      <c r="N4" s="5"/>
      <c r="O4" s="6"/>
      <c r="P4" s="6"/>
      <c r="R4" s="6"/>
      <c r="S4" s="39"/>
      <c r="U4" s="8"/>
      <c r="V4" s="8"/>
      <c r="W4" s="9"/>
      <c r="X4" s="10"/>
    </row>
    <row r="5" spans="1:24" x14ac:dyDescent="0.3">
      <c r="A5" s="1" t="s">
        <v>167</v>
      </c>
      <c r="F5" s="6"/>
      <c r="G5" s="6"/>
      <c r="H5" s="6"/>
      <c r="J5" s="6"/>
      <c r="K5" s="6"/>
      <c r="L5" s="6"/>
      <c r="O5" s="6"/>
      <c r="P5" s="6"/>
      <c r="R5" s="6"/>
      <c r="S5" s="34" t="s">
        <v>110</v>
      </c>
      <c r="U5" s="6"/>
      <c r="V5" s="6"/>
      <c r="W5" s="9"/>
      <c r="X5" s="10"/>
    </row>
    <row r="6" spans="1:24" ht="43.2" x14ac:dyDescent="0.3">
      <c r="A6" s="25" t="s">
        <v>0</v>
      </c>
      <c r="B6" s="18" t="s">
        <v>1</v>
      </c>
      <c r="C6" s="18" t="s">
        <v>2</v>
      </c>
      <c r="D6" s="26" t="s">
        <v>3</v>
      </c>
      <c r="E6" s="26" t="s">
        <v>4</v>
      </c>
      <c r="F6" s="18" t="s">
        <v>5</v>
      </c>
      <c r="G6" s="18" t="s">
        <v>6</v>
      </c>
      <c r="H6" s="25" t="s">
        <v>7</v>
      </c>
      <c r="I6" s="18" t="s">
        <v>8</v>
      </c>
      <c r="J6" s="25" t="s">
        <v>9</v>
      </c>
      <c r="K6" s="26" t="s">
        <v>10</v>
      </c>
      <c r="L6" s="18" t="s">
        <v>11</v>
      </c>
      <c r="M6" s="26" t="s">
        <v>12</v>
      </c>
      <c r="N6" s="19" t="s">
        <v>13</v>
      </c>
      <c r="O6" s="26" t="s">
        <v>14</v>
      </c>
      <c r="P6" s="26" t="s">
        <v>15</v>
      </c>
      <c r="Q6" s="26" t="s">
        <v>16</v>
      </c>
      <c r="R6" s="26" t="s">
        <v>17</v>
      </c>
      <c r="S6" s="20" t="s">
        <v>18</v>
      </c>
      <c r="T6" s="18" t="s">
        <v>19</v>
      </c>
      <c r="U6" s="27" t="s">
        <v>20</v>
      </c>
      <c r="V6" s="27" t="s">
        <v>21</v>
      </c>
      <c r="W6" s="28" t="s">
        <v>22</v>
      </c>
      <c r="X6" s="21" t="s">
        <v>23</v>
      </c>
    </row>
    <row r="7" spans="1:24" x14ac:dyDescent="0.3">
      <c r="A7" s="51" t="s">
        <v>168</v>
      </c>
      <c r="B7" s="51" t="s">
        <v>221</v>
      </c>
      <c r="C7" s="45" t="s">
        <v>223</v>
      </c>
      <c r="D7" s="51" t="s">
        <v>233</v>
      </c>
      <c r="E7" s="45" t="s">
        <v>280</v>
      </c>
      <c r="F7" s="24" t="str">
        <f>HYPERLINK("https://mapwv.gov/flood/map/?wkid=102100&amp;x=-8807231.254285706&amp;y=4721915.5709460955&amp;l=13&amp;v=2","FT")</f>
        <v>FT</v>
      </c>
      <c r="G7" s="29" t="s">
        <v>71</v>
      </c>
      <c r="H7" s="29" t="s">
        <v>24</v>
      </c>
      <c r="I7" s="2" t="s">
        <v>334</v>
      </c>
      <c r="J7" s="22" t="s">
        <v>25</v>
      </c>
      <c r="K7" s="46" t="s">
        <v>106</v>
      </c>
      <c r="L7" s="46" t="s">
        <v>26</v>
      </c>
      <c r="M7" s="45" t="s">
        <v>58</v>
      </c>
      <c r="N7" s="3" t="s">
        <v>83</v>
      </c>
      <c r="O7" s="46" t="s">
        <v>87</v>
      </c>
      <c r="P7" s="45" t="s">
        <v>385</v>
      </c>
      <c r="Q7" s="45" t="s">
        <v>29</v>
      </c>
      <c r="R7" s="23" t="s">
        <v>89</v>
      </c>
      <c r="S7" s="30">
        <v>7879200</v>
      </c>
      <c r="T7" s="2" t="s">
        <v>59</v>
      </c>
      <c r="U7" s="31">
        <v>0</v>
      </c>
      <c r="V7" s="31">
        <v>-1</v>
      </c>
      <c r="W7" s="32">
        <v>0</v>
      </c>
      <c r="X7" s="33">
        <v>0</v>
      </c>
    </row>
    <row r="8" spans="1:24" x14ac:dyDescent="0.3">
      <c r="A8" s="51" t="s">
        <v>169</v>
      </c>
      <c r="B8" s="51" t="s">
        <v>221</v>
      </c>
      <c r="C8" s="45" t="s">
        <v>223</v>
      </c>
      <c r="D8" s="51" t="s">
        <v>234</v>
      </c>
      <c r="E8" s="45" t="s">
        <v>281</v>
      </c>
      <c r="F8" s="24" t="str">
        <f>HYPERLINK("https://mapwv.gov/flood/map/?wkid=102100&amp;x=-8807909.224048406&amp;y=4721729.888191965&amp;l=13&amp;v=2","FT")</f>
        <v>FT</v>
      </c>
      <c r="G8" s="29" t="s">
        <v>37</v>
      </c>
      <c r="H8" s="29" t="s">
        <v>24</v>
      </c>
      <c r="I8" s="2" t="s">
        <v>334</v>
      </c>
      <c r="J8" s="22" t="s">
        <v>38</v>
      </c>
      <c r="K8" s="46" t="s">
        <v>139</v>
      </c>
      <c r="L8" s="46" t="s">
        <v>26</v>
      </c>
      <c r="M8" s="45" t="s">
        <v>58</v>
      </c>
      <c r="N8" s="3" t="s">
        <v>83</v>
      </c>
      <c r="O8" s="46" t="s">
        <v>88</v>
      </c>
      <c r="P8" s="45" t="s">
        <v>386</v>
      </c>
      <c r="Q8" s="45" t="s">
        <v>29</v>
      </c>
      <c r="R8" s="23" t="s">
        <v>89</v>
      </c>
      <c r="S8" s="30">
        <v>5296620</v>
      </c>
      <c r="T8" s="2" t="s">
        <v>59</v>
      </c>
      <c r="U8" s="31">
        <v>0</v>
      </c>
      <c r="V8" s="31">
        <v>-1</v>
      </c>
      <c r="W8" s="32">
        <v>0</v>
      </c>
      <c r="X8" s="33">
        <v>0</v>
      </c>
    </row>
    <row r="9" spans="1:24" x14ac:dyDescent="0.3">
      <c r="A9" s="51" t="s">
        <v>170</v>
      </c>
      <c r="B9" s="51" t="s">
        <v>221</v>
      </c>
      <c r="C9" s="45" t="s">
        <v>223</v>
      </c>
      <c r="D9" s="51" t="s">
        <v>235</v>
      </c>
      <c r="E9" s="45" t="s">
        <v>282</v>
      </c>
      <c r="F9" s="24" t="str">
        <f>HYPERLINK("https://mapwv.gov/flood/map/?wkid=102100&amp;x=-8807587.349195428&amp;y=4721862.807122708&amp;l=13&amp;v=2","FT")</f>
        <v>FT</v>
      </c>
      <c r="G9" s="29" t="s">
        <v>37</v>
      </c>
      <c r="H9" s="29" t="s">
        <v>24</v>
      </c>
      <c r="I9" s="2" t="s">
        <v>334</v>
      </c>
      <c r="J9" s="22" t="s">
        <v>25</v>
      </c>
      <c r="K9" s="46" t="s">
        <v>73</v>
      </c>
      <c r="L9" s="46" t="s">
        <v>55</v>
      </c>
      <c r="M9" s="45" t="s">
        <v>58</v>
      </c>
      <c r="N9" s="3" t="s">
        <v>83</v>
      </c>
      <c r="O9" s="46" t="s">
        <v>87</v>
      </c>
      <c r="P9" s="45" t="s">
        <v>387</v>
      </c>
      <c r="Q9" s="45" t="s">
        <v>29</v>
      </c>
      <c r="R9" s="23" t="s">
        <v>89</v>
      </c>
      <c r="S9" s="30">
        <v>1909200</v>
      </c>
      <c r="T9" s="2" t="s">
        <v>42</v>
      </c>
      <c r="U9" s="31">
        <v>0</v>
      </c>
      <c r="V9" s="31">
        <v>-1</v>
      </c>
      <c r="W9" s="32">
        <v>0</v>
      </c>
      <c r="X9" s="33">
        <v>0</v>
      </c>
    </row>
    <row r="10" spans="1:24" x14ac:dyDescent="0.3">
      <c r="A10" s="51" t="s">
        <v>171</v>
      </c>
      <c r="B10" s="51" t="s">
        <v>222</v>
      </c>
      <c r="C10" s="45" t="s">
        <v>224</v>
      </c>
      <c r="D10" s="51" t="s">
        <v>236</v>
      </c>
      <c r="E10" s="45" t="s">
        <v>283</v>
      </c>
      <c r="F10" s="24" t="str">
        <f>HYPERLINK("https://mapwv.gov/flood/map/?wkid=102100&amp;x=-8823857.931760803&amp;y=4719689.863710822&amp;l=13&amp;v=2","FT")</f>
        <v>FT</v>
      </c>
      <c r="G10" s="29" t="s">
        <v>37</v>
      </c>
      <c r="H10" s="29" t="s">
        <v>24</v>
      </c>
      <c r="I10" s="2" t="s">
        <v>335</v>
      </c>
      <c r="J10" s="22" t="s">
        <v>25</v>
      </c>
      <c r="K10" s="46" t="s">
        <v>99</v>
      </c>
      <c r="L10" s="46" t="s">
        <v>36</v>
      </c>
      <c r="M10" s="45" t="s">
        <v>45</v>
      </c>
      <c r="N10" s="3" t="s">
        <v>34</v>
      </c>
      <c r="O10" s="46" t="s">
        <v>88</v>
      </c>
      <c r="P10" s="45" t="s">
        <v>388</v>
      </c>
      <c r="Q10" s="45" t="s">
        <v>29</v>
      </c>
      <c r="R10" s="23" t="s">
        <v>89</v>
      </c>
      <c r="S10" s="30">
        <v>750900</v>
      </c>
      <c r="T10" s="2" t="s">
        <v>30</v>
      </c>
      <c r="U10" s="31">
        <v>0</v>
      </c>
      <c r="V10" s="31">
        <v>-1</v>
      </c>
      <c r="W10" s="32">
        <v>0</v>
      </c>
      <c r="X10" s="33">
        <v>0</v>
      </c>
    </row>
    <row r="11" spans="1:24" x14ac:dyDescent="0.3">
      <c r="A11" s="51" t="s">
        <v>172</v>
      </c>
      <c r="B11" s="51" t="s">
        <v>222</v>
      </c>
      <c r="C11" s="45" t="s">
        <v>223</v>
      </c>
      <c r="D11" s="51" t="s">
        <v>237</v>
      </c>
      <c r="E11" s="45" t="s">
        <v>284</v>
      </c>
      <c r="F11" s="24" t="str">
        <f>HYPERLINK("https://mapwv.gov/flood/map/?wkid=102100&amp;x=-8808801.909071328&amp;y=4722739.50566162&amp;l=13&amp;v=2","FT")</f>
        <v>FT</v>
      </c>
      <c r="G11" s="29" t="s">
        <v>37</v>
      </c>
      <c r="H11" s="29" t="s">
        <v>24</v>
      </c>
      <c r="I11" s="2" t="s">
        <v>336</v>
      </c>
      <c r="J11" s="22" t="s">
        <v>25</v>
      </c>
      <c r="K11" s="46" t="s">
        <v>72</v>
      </c>
      <c r="L11" s="46" t="s">
        <v>26</v>
      </c>
      <c r="M11" s="45" t="s">
        <v>103</v>
      </c>
      <c r="N11" s="3" t="s">
        <v>34</v>
      </c>
      <c r="O11" s="46" t="s">
        <v>87</v>
      </c>
      <c r="P11" s="45" t="s">
        <v>389</v>
      </c>
      <c r="Q11" s="45" t="s">
        <v>29</v>
      </c>
      <c r="R11" s="23" t="s">
        <v>89</v>
      </c>
      <c r="S11" s="30">
        <v>524100</v>
      </c>
      <c r="T11" s="2" t="s">
        <v>30</v>
      </c>
      <c r="U11" s="31">
        <v>0</v>
      </c>
      <c r="V11" s="31">
        <v>-1</v>
      </c>
      <c r="W11" s="32">
        <v>0</v>
      </c>
      <c r="X11" s="33">
        <v>0</v>
      </c>
    </row>
    <row r="12" spans="1:24" x14ac:dyDescent="0.3">
      <c r="A12" s="51" t="s">
        <v>173</v>
      </c>
      <c r="B12" s="51" t="s">
        <v>222</v>
      </c>
      <c r="C12" s="45" t="s">
        <v>225</v>
      </c>
      <c r="D12" s="51" t="s">
        <v>238</v>
      </c>
      <c r="E12" s="45" t="s">
        <v>285</v>
      </c>
      <c r="F12" s="24" t="str">
        <f>HYPERLINK("https://mapwv.gov/flood/map/?wkid=102100&amp;x=-8815710.66884612&amp;y=4708140.227506527&amp;l=13&amp;v=2","FT")</f>
        <v>FT</v>
      </c>
      <c r="G12" s="29" t="s">
        <v>37</v>
      </c>
      <c r="H12" s="29" t="s">
        <v>24</v>
      </c>
      <c r="I12" s="2" t="s">
        <v>337</v>
      </c>
      <c r="J12" s="22" t="s">
        <v>25</v>
      </c>
      <c r="K12" s="46" t="s">
        <v>106</v>
      </c>
      <c r="L12" s="46" t="s">
        <v>55</v>
      </c>
      <c r="M12" s="45" t="s">
        <v>56</v>
      </c>
      <c r="N12" s="3" t="s">
        <v>85</v>
      </c>
      <c r="O12" s="46" t="s">
        <v>87</v>
      </c>
      <c r="P12" s="45" t="s">
        <v>390</v>
      </c>
      <c r="Q12" s="45" t="s">
        <v>29</v>
      </c>
      <c r="R12" s="23" t="s">
        <v>89</v>
      </c>
      <c r="S12" s="30">
        <v>508400</v>
      </c>
      <c r="T12" s="2" t="s">
        <v>42</v>
      </c>
      <c r="U12" s="31">
        <v>0</v>
      </c>
      <c r="V12" s="31">
        <v>-1</v>
      </c>
      <c r="W12" s="32">
        <v>0</v>
      </c>
      <c r="X12" s="33">
        <v>0</v>
      </c>
    </row>
    <row r="13" spans="1:24" x14ac:dyDescent="0.3">
      <c r="A13" s="51" t="s">
        <v>174</v>
      </c>
      <c r="B13" s="51" t="s">
        <v>222</v>
      </c>
      <c r="C13" s="45" t="s">
        <v>224</v>
      </c>
      <c r="D13" s="51" t="s">
        <v>239</v>
      </c>
      <c r="E13" s="45" t="s">
        <v>286</v>
      </c>
      <c r="F13" s="24" t="str">
        <f>HYPERLINK("https://mapwv.gov/flood/map/?wkid=102100&amp;x=-8826159.90016383&amp;y=4716885.00716846&amp;l=13&amp;v=2","FT")</f>
        <v>FT</v>
      </c>
      <c r="G13" s="29" t="s">
        <v>37</v>
      </c>
      <c r="H13" s="29" t="s">
        <v>24</v>
      </c>
      <c r="I13" s="2" t="s">
        <v>338</v>
      </c>
      <c r="J13" s="22" t="s">
        <v>35</v>
      </c>
      <c r="K13" s="46" t="s">
        <v>74</v>
      </c>
      <c r="L13" s="46"/>
      <c r="M13" s="45" t="s">
        <v>56</v>
      </c>
      <c r="N13" s="3" t="s">
        <v>85</v>
      </c>
      <c r="O13" s="46" t="s">
        <v>87</v>
      </c>
      <c r="P13" s="45" t="s">
        <v>391</v>
      </c>
      <c r="Q13" s="45" t="s">
        <v>29</v>
      </c>
      <c r="R13" s="23" t="s">
        <v>89</v>
      </c>
      <c r="S13" s="30">
        <v>450000</v>
      </c>
      <c r="T13" s="2" t="s">
        <v>42</v>
      </c>
      <c r="U13" s="31">
        <v>0</v>
      </c>
      <c r="V13" s="31">
        <v>-1</v>
      </c>
      <c r="W13" s="32">
        <v>0</v>
      </c>
      <c r="X13" s="33">
        <v>0</v>
      </c>
    </row>
    <row r="14" spans="1:24" x14ac:dyDescent="0.3">
      <c r="A14" s="51" t="s">
        <v>175</v>
      </c>
      <c r="B14" s="51" t="s">
        <v>222</v>
      </c>
      <c r="C14" s="45" t="s">
        <v>225</v>
      </c>
      <c r="D14" s="51" t="s">
        <v>240</v>
      </c>
      <c r="E14" s="45" t="s">
        <v>287</v>
      </c>
      <c r="F14" s="24" t="str">
        <f>HYPERLINK("https://mapwv.gov/flood/map/?wkid=102100&amp;x=-8813703.640098112&amp;y=4710803.509682163&amp;l=13&amp;v=2","FT")</f>
        <v>FT</v>
      </c>
      <c r="G14" s="29" t="s">
        <v>37</v>
      </c>
      <c r="H14" s="29" t="s">
        <v>24</v>
      </c>
      <c r="I14" s="2" t="s">
        <v>339</v>
      </c>
      <c r="J14" s="22" t="s">
        <v>25</v>
      </c>
      <c r="K14" s="46" t="s">
        <v>99</v>
      </c>
      <c r="L14" s="46" t="s">
        <v>48</v>
      </c>
      <c r="M14" s="45" t="s">
        <v>39</v>
      </c>
      <c r="N14" s="3" t="s">
        <v>40</v>
      </c>
      <c r="O14" s="46" t="s">
        <v>87</v>
      </c>
      <c r="P14" s="45" t="s">
        <v>392</v>
      </c>
      <c r="Q14" s="45" t="s">
        <v>50</v>
      </c>
      <c r="R14" s="23" t="s">
        <v>90</v>
      </c>
      <c r="S14" s="30">
        <v>403100</v>
      </c>
      <c r="T14" s="2" t="s">
        <v>42</v>
      </c>
      <c r="U14" s="31">
        <v>0</v>
      </c>
      <c r="V14" s="31">
        <v>-4</v>
      </c>
      <c r="W14" s="32">
        <v>0</v>
      </c>
      <c r="X14" s="33">
        <v>0</v>
      </c>
    </row>
    <row r="15" spans="1:24" x14ac:dyDescent="0.3">
      <c r="A15" s="51" t="s">
        <v>176</v>
      </c>
      <c r="B15" s="51" t="s">
        <v>222</v>
      </c>
      <c r="C15" s="45" t="s">
        <v>225</v>
      </c>
      <c r="D15" s="51" t="s">
        <v>241</v>
      </c>
      <c r="E15" s="45" t="s">
        <v>288</v>
      </c>
      <c r="F15" s="24" t="str">
        <f>HYPERLINK("https://mapwv.gov/flood/map/?wkid=102100&amp;x=-8807346.206131484&amp;y=4715769.942783002&amp;l=13&amp;v=2","FT")</f>
        <v>FT</v>
      </c>
      <c r="G15" s="29" t="s">
        <v>37</v>
      </c>
      <c r="H15" s="29" t="s">
        <v>24</v>
      </c>
      <c r="I15" s="2" t="s">
        <v>340</v>
      </c>
      <c r="J15" s="22" t="s">
        <v>38</v>
      </c>
      <c r="K15" s="46" t="s">
        <v>379</v>
      </c>
      <c r="L15" s="46" t="s">
        <v>26</v>
      </c>
      <c r="M15" s="45" t="s">
        <v>56</v>
      </c>
      <c r="N15" s="3" t="s">
        <v>85</v>
      </c>
      <c r="O15" s="46" t="s">
        <v>88</v>
      </c>
      <c r="P15" s="45" t="s">
        <v>393</v>
      </c>
      <c r="Q15" s="45" t="s">
        <v>29</v>
      </c>
      <c r="R15" s="23" t="s">
        <v>89</v>
      </c>
      <c r="S15" s="30">
        <v>342100</v>
      </c>
      <c r="T15" s="2" t="s">
        <v>42</v>
      </c>
      <c r="U15" s="31">
        <v>0</v>
      </c>
      <c r="V15" s="31">
        <v>-1</v>
      </c>
      <c r="W15" s="32">
        <v>0</v>
      </c>
      <c r="X15" s="33">
        <v>0</v>
      </c>
    </row>
    <row r="16" spans="1:24" x14ac:dyDescent="0.3">
      <c r="A16" s="51" t="s">
        <v>177</v>
      </c>
      <c r="B16" s="51" t="s">
        <v>222</v>
      </c>
      <c r="C16" s="45" t="s">
        <v>223</v>
      </c>
      <c r="D16" s="51" t="s">
        <v>242</v>
      </c>
      <c r="E16" s="45" t="s">
        <v>289</v>
      </c>
      <c r="F16" s="24" t="str">
        <f>HYPERLINK("https://mapwv.gov/flood/map/?wkid=102100&amp;x=-8806657.87931469&amp;y=4727861.484758729&amp;l=13&amp;v=2","FT")</f>
        <v>FT</v>
      </c>
      <c r="G16" s="29" t="s">
        <v>37</v>
      </c>
      <c r="H16" s="29" t="s">
        <v>24</v>
      </c>
      <c r="I16" s="2" t="s">
        <v>341</v>
      </c>
      <c r="J16" s="22" t="s">
        <v>38</v>
      </c>
      <c r="K16" s="46" t="s">
        <v>104</v>
      </c>
      <c r="L16" s="46" t="s">
        <v>26</v>
      </c>
      <c r="M16" s="45" t="s">
        <v>39</v>
      </c>
      <c r="N16" s="3" t="s">
        <v>40</v>
      </c>
      <c r="O16" s="46" t="s">
        <v>88</v>
      </c>
      <c r="P16" s="45" t="s">
        <v>394</v>
      </c>
      <c r="Q16" s="45" t="s">
        <v>50</v>
      </c>
      <c r="R16" s="23" t="s">
        <v>105</v>
      </c>
      <c r="S16" s="30">
        <v>268800</v>
      </c>
      <c r="T16" s="2" t="s">
        <v>42</v>
      </c>
      <c r="U16" s="31">
        <v>0</v>
      </c>
      <c r="V16" s="31">
        <v>-3</v>
      </c>
      <c r="W16" s="32">
        <v>0</v>
      </c>
      <c r="X16" s="33">
        <v>0</v>
      </c>
    </row>
    <row r="17" spans="1:24" x14ac:dyDescent="0.3">
      <c r="A17" s="51" t="s">
        <v>178</v>
      </c>
      <c r="B17" s="51" t="s">
        <v>222</v>
      </c>
      <c r="C17" s="45" t="s">
        <v>226</v>
      </c>
      <c r="D17" s="51" t="s">
        <v>243</v>
      </c>
      <c r="E17" s="45" t="s">
        <v>290</v>
      </c>
      <c r="F17" s="24" t="str">
        <f>HYPERLINK("https://mapwv.gov/flood/map/?wkid=102100&amp;x=-8820822.187241914&amp;y=4709567.228015221&amp;l=13&amp;v=2","FT")</f>
        <v>FT</v>
      </c>
      <c r="G17" s="29" t="s">
        <v>37</v>
      </c>
      <c r="H17" s="29" t="s">
        <v>24</v>
      </c>
      <c r="I17" s="2" t="s">
        <v>342</v>
      </c>
      <c r="J17" s="22" t="s">
        <v>38</v>
      </c>
      <c r="K17" s="46" t="s">
        <v>380</v>
      </c>
      <c r="L17" s="46" t="s">
        <v>51</v>
      </c>
      <c r="M17" s="45" t="s">
        <v>39</v>
      </c>
      <c r="N17" s="3" t="s">
        <v>40</v>
      </c>
      <c r="O17" s="46" t="s">
        <v>88</v>
      </c>
      <c r="P17" s="45" t="s">
        <v>395</v>
      </c>
      <c r="Q17" s="45" t="s">
        <v>50</v>
      </c>
      <c r="R17" s="23" t="s">
        <v>105</v>
      </c>
      <c r="S17" s="30">
        <v>260900</v>
      </c>
      <c r="T17" s="2" t="s">
        <v>30</v>
      </c>
      <c r="U17" s="31">
        <v>0</v>
      </c>
      <c r="V17" s="31">
        <v>-3</v>
      </c>
      <c r="W17" s="32">
        <v>0</v>
      </c>
      <c r="X17" s="33">
        <v>0</v>
      </c>
    </row>
    <row r="18" spans="1:24" x14ac:dyDescent="0.3">
      <c r="A18" s="51" t="s">
        <v>179</v>
      </c>
      <c r="B18" s="51" t="s">
        <v>222</v>
      </c>
      <c r="C18" s="45" t="s">
        <v>227</v>
      </c>
      <c r="D18" s="51" t="s">
        <v>244</v>
      </c>
      <c r="E18" s="45" t="s">
        <v>291</v>
      </c>
      <c r="F18" s="24" t="str">
        <f>HYPERLINK("https://mapwv.gov/flood/map/?wkid=102100&amp;x=-8805960.980117861&amp;y=4713900.214575303&amp;l=13&amp;v=2","FT")</f>
        <v>FT</v>
      </c>
      <c r="G18" s="29" t="s">
        <v>37</v>
      </c>
      <c r="H18" s="29" t="s">
        <v>24</v>
      </c>
      <c r="I18" s="2" t="s">
        <v>343</v>
      </c>
      <c r="J18" s="22" t="s">
        <v>25</v>
      </c>
      <c r="K18" s="46" t="s">
        <v>124</v>
      </c>
      <c r="L18" s="46" t="s">
        <v>26</v>
      </c>
      <c r="M18" s="45" t="s">
        <v>39</v>
      </c>
      <c r="N18" s="3" t="s">
        <v>40</v>
      </c>
      <c r="O18" s="46" t="s">
        <v>87</v>
      </c>
      <c r="P18" s="45" t="s">
        <v>396</v>
      </c>
      <c r="Q18" s="45" t="s">
        <v>41</v>
      </c>
      <c r="R18" s="23" t="s">
        <v>90</v>
      </c>
      <c r="S18" s="30">
        <v>241800</v>
      </c>
      <c r="T18" s="2" t="s">
        <v>42</v>
      </c>
      <c r="U18" s="31">
        <v>0</v>
      </c>
      <c r="V18" s="31">
        <v>-4</v>
      </c>
      <c r="W18" s="32">
        <v>0</v>
      </c>
      <c r="X18" s="33">
        <v>0</v>
      </c>
    </row>
    <row r="19" spans="1:24" x14ac:dyDescent="0.3">
      <c r="A19" s="51" t="s">
        <v>180</v>
      </c>
      <c r="B19" s="51" t="s">
        <v>222</v>
      </c>
      <c r="C19" s="45" t="s">
        <v>223</v>
      </c>
      <c r="D19" s="51" t="s">
        <v>245</v>
      </c>
      <c r="E19" s="45" t="s">
        <v>292</v>
      </c>
      <c r="F19" s="24" t="str">
        <f>HYPERLINK("https://mapwv.gov/flood/map/?wkid=102100&amp;x=-8808733.709407939&amp;y=4723968.134554609&amp;l=13&amp;v=2","FT")</f>
        <v>FT</v>
      </c>
      <c r="G19" s="29" t="s">
        <v>37</v>
      </c>
      <c r="H19" s="29" t="s">
        <v>24</v>
      </c>
      <c r="I19" s="2" t="s">
        <v>344</v>
      </c>
      <c r="J19" s="22" t="s">
        <v>25</v>
      </c>
      <c r="K19" s="46" t="s">
        <v>82</v>
      </c>
      <c r="L19" s="46" t="s">
        <v>51</v>
      </c>
      <c r="M19" s="45" t="s">
        <v>45</v>
      </c>
      <c r="N19" s="3" t="s">
        <v>34</v>
      </c>
      <c r="O19" s="46" t="s">
        <v>88</v>
      </c>
      <c r="P19" s="45" t="s">
        <v>397</v>
      </c>
      <c r="Q19" s="45" t="s">
        <v>29</v>
      </c>
      <c r="R19" s="23" t="s">
        <v>89</v>
      </c>
      <c r="S19" s="30">
        <v>231800</v>
      </c>
      <c r="T19" s="2" t="s">
        <v>42</v>
      </c>
      <c r="U19" s="31">
        <v>3</v>
      </c>
      <c r="V19" s="31">
        <v>2</v>
      </c>
      <c r="W19" s="32">
        <v>0.14000000000000001</v>
      </c>
      <c r="X19" s="33">
        <v>32452</v>
      </c>
    </row>
    <row r="20" spans="1:24" x14ac:dyDescent="0.3">
      <c r="A20" s="51" t="s">
        <v>181</v>
      </c>
      <c r="B20" s="51" t="s">
        <v>222</v>
      </c>
      <c r="C20" s="45" t="s">
        <v>223</v>
      </c>
      <c r="D20" s="51" t="s">
        <v>246</v>
      </c>
      <c r="E20" s="45" t="s">
        <v>293</v>
      </c>
      <c r="F20" s="24" t="str">
        <f>HYPERLINK("https://mapwv.gov/flood/map/?wkid=102100&amp;x=-8808748.486291103&amp;y=4723873.844585672&amp;l=13&amp;v=2","FT")</f>
        <v>FT</v>
      </c>
      <c r="G20" s="29" t="s">
        <v>37</v>
      </c>
      <c r="H20" s="29" t="s">
        <v>24</v>
      </c>
      <c r="I20" s="2" t="s">
        <v>345</v>
      </c>
      <c r="J20" s="22" t="s">
        <v>38</v>
      </c>
      <c r="K20" s="46" t="s">
        <v>75</v>
      </c>
      <c r="L20" s="46" t="s">
        <v>51</v>
      </c>
      <c r="M20" s="45" t="s">
        <v>45</v>
      </c>
      <c r="N20" s="3" t="s">
        <v>34</v>
      </c>
      <c r="O20" s="46" t="s">
        <v>87</v>
      </c>
      <c r="P20" s="45" t="s">
        <v>398</v>
      </c>
      <c r="Q20" s="45" t="s">
        <v>29</v>
      </c>
      <c r="R20" s="23" t="s">
        <v>89</v>
      </c>
      <c r="S20" s="30">
        <v>221200</v>
      </c>
      <c r="T20" s="2" t="s">
        <v>42</v>
      </c>
      <c r="U20" s="31">
        <v>2</v>
      </c>
      <c r="V20" s="31">
        <v>1</v>
      </c>
      <c r="W20" s="32">
        <v>0.09</v>
      </c>
      <c r="X20" s="33">
        <v>19908</v>
      </c>
    </row>
    <row r="21" spans="1:24" x14ac:dyDescent="0.3">
      <c r="A21" s="51" t="s">
        <v>182</v>
      </c>
      <c r="B21" s="51" t="s">
        <v>222</v>
      </c>
      <c r="C21" s="45" t="s">
        <v>228</v>
      </c>
      <c r="D21" s="51" t="s">
        <v>247</v>
      </c>
      <c r="E21" s="45" t="s">
        <v>294</v>
      </c>
      <c r="F21" s="24" t="str">
        <f>HYPERLINK("https://mapwv.gov/flood/map/?wkid=102100&amp;x=-8808026.833424386&amp;y=4732185.455809533&amp;l=13&amp;v=2","FT")</f>
        <v>FT</v>
      </c>
      <c r="G21" s="29" t="s">
        <v>37</v>
      </c>
      <c r="H21" s="29" t="s">
        <v>24</v>
      </c>
      <c r="I21" s="2" t="s">
        <v>346</v>
      </c>
      <c r="J21" s="22" t="s">
        <v>38</v>
      </c>
      <c r="K21" s="46" t="s">
        <v>164</v>
      </c>
      <c r="L21" s="46" t="s">
        <v>26</v>
      </c>
      <c r="M21" s="45" t="s">
        <v>56</v>
      </c>
      <c r="N21" s="3" t="s">
        <v>85</v>
      </c>
      <c r="O21" s="46" t="s">
        <v>87</v>
      </c>
      <c r="P21" s="45" t="s">
        <v>399</v>
      </c>
      <c r="Q21" s="45" t="s">
        <v>29</v>
      </c>
      <c r="R21" s="23" t="s">
        <v>89</v>
      </c>
      <c r="S21" s="30">
        <v>207900</v>
      </c>
      <c r="T21" s="2" t="s">
        <v>30</v>
      </c>
      <c r="U21" s="31">
        <v>0</v>
      </c>
      <c r="V21" s="31">
        <v>-1</v>
      </c>
      <c r="W21" s="32">
        <v>0</v>
      </c>
      <c r="X21" s="33">
        <v>0</v>
      </c>
    </row>
    <row r="22" spans="1:24" x14ac:dyDescent="0.3">
      <c r="A22" s="51" t="s">
        <v>183</v>
      </c>
      <c r="B22" s="51" t="s">
        <v>221</v>
      </c>
      <c r="C22" s="45" t="s">
        <v>226</v>
      </c>
      <c r="D22" s="51" t="s">
        <v>248</v>
      </c>
      <c r="E22" s="45" t="s">
        <v>295</v>
      </c>
      <c r="F22" s="24" t="str">
        <f>HYPERLINK("https://mapwv.gov/flood/map/?wkid=102100&amp;x=-8807948.109171052&amp;y=4720555.67678034&amp;l=13&amp;v=2","FT")</f>
        <v>FT</v>
      </c>
      <c r="G22" s="29" t="s">
        <v>333</v>
      </c>
      <c r="H22" s="29" t="s">
        <v>24</v>
      </c>
      <c r="I22" s="2" t="s">
        <v>347</v>
      </c>
      <c r="J22" s="22" t="s">
        <v>38</v>
      </c>
      <c r="K22" s="46" t="s">
        <v>154</v>
      </c>
      <c r="L22" s="46" t="s">
        <v>26</v>
      </c>
      <c r="M22" s="45" t="s">
        <v>45</v>
      </c>
      <c r="N22" s="3" t="s">
        <v>34</v>
      </c>
      <c r="O22" s="46" t="s">
        <v>87</v>
      </c>
      <c r="P22" s="45" t="s">
        <v>391</v>
      </c>
      <c r="Q22" s="45" t="s">
        <v>29</v>
      </c>
      <c r="R22" s="23" t="s">
        <v>89</v>
      </c>
      <c r="S22" s="30">
        <v>198200</v>
      </c>
      <c r="T22" s="2" t="s">
        <v>42</v>
      </c>
      <c r="U22" s="31">
        <v>0</v>
      </c>
      <c r="V22" s="31">
        <v>-1</v>
      </c>
      <c r="W22" s="32">
        <v>0</v>
      </c>
      <c r="X22" s="33">
        <v>0</v>
      </c>
    </row>
    <row r="23" spans="1:24" x14ac:dyDescent="0.3">
      <c r="A23" s="51" t="s">
        <v>184</v>
      </c>
      <c r="B23" s="51" t="s">
        <v>222</v>
      </c>
      <c r="C23" s="45" t="s">
        <v>227</v>
      </c>
      <c r="D23" s="51" t="s">
        <v>249</v>
      </c>
      <c r="E23" s="45" t="s">
        <v>296</v>
      </c>
      <c r="F23" s="24" t="str">
        <f>HYPERLINK("https://mapwv.gov/flood/map/?wkid=102100&amp;x=-8805933.965549117&amp;y=4714541.265129126&amp;l=13&amp;v=2","FT")</f>
        <v>FT</v>
      </c>
      <c r="G23" s="29" t="s">
        <v>37</v>
      </c>
      <c r="H23" s="29" t="s">
        <v>24</v>
      </c>
      <c r="I23" s="2" t="s">
        <v>348</v>
      </c>
      <c r="J23" s="22" t="s">
        <v>25</v>
      </c>
      <c r="K23" s="46" t="s">
        <v>99</v>
      </c>
      <c r="L23" s="46" t="s">
        <v>48</v>
      </c>
      <c r="M23" s="45" t="s">
        <v>39</v>
      </c>
      <c r="N23" s="3" t="s">
        <v>40</v>
      </c>
      <c r="O23" s="46" t="s">
        <v>87</v>
      </c>
      <c r="P23" s="45" t="s">
        <v>400</v>
      </c>
      <c r="Q23" s="45" t="s">
        <v>50</v>
      </c>
      <c r="R23" s="23" t="s">
        <v>90</v>
      </c>
      <c r="S23" s="30">
        <v>198100</v>
      </c>
      <c r="T23" s="2" t="s">
        <v>42</v>
      </c>
      <c r="U23" s="31">
        <v>0</v>
      </c>
      <c r="V23" s="31">
        <v>-4</v>
      </c>
      <c r="W23" s="32">
        <v>0</v>
      </c>
      <c r="X23" s="33">
        <v>0</v>
      </c>
    </row>
    <row r="24" spans="1:24" x14ac:dyDescent="0.3">
      <c r="A24" s="51" t="s">
        <v>185</v>
      </c>
      <c r="B24" s="51" t="s">
        <v>222</v>
      </c>
      <c r="C24" s="45" t="s">
        <v>229</v>
      </c>
      <c r="D24" s="51" t="s">
        <v>250</v>
      </c>
      <c r="E24" s="45" t="s">
        <v>297</v>
      </c>
      <c r="F24" s="24" t="str">
        <f>HYPERLINK("https://mapwv.gov/flood/map/?wkid=102100&amp;x=-8802698.783256907&amp;y=4740583.989666894&amp;l=13&amp;v=2","FT")</f>
        <v>FT</v>
      </c>
      <c r="G24" s="29" t="s">
        <v>37</v>
      </c>
      <c r="H24" s="29" t="s">
        <v>24</v>
      </c>
      <c r="I24" s="2" t="s">
        <v>349</v>
      </c>
      <c r="J24" s="22" t="s">
        <v>38</v>
      </c>
      <c r="K24" s="46" t="s">
        <v>381</v>
      </c>
      <c r="L24" s="46" t="s">
        <v>44</v>
      </c>
      <c r="M24" s="45" t="s">
        <v>39</v>
      </c>
      <c r="N24" s="3" t="s">
        <v>40</v>
      </c>
      <c r="O24" s="46" t="s">
        <v>88</v>
      </c>
      <c r="P24" s="45" t="s">
        <v>137</v>
      </c>
      <c r="Q24" s="45" t="s">
        <v>50</v>
      </c>
      <c r="R24" s="23" t="s">
        <v>105</v>
      </c>
      <c r="S24" s="30">
        <v>191800</v>
      </c>
      <c r="T24" s="2" t="s">
        <v>42</v>
      </c>
      <c r="U24" s="31">
        <v>0</v>
      </c>
      <c r="V24" s="31">
        <v>-3</v>
      </c>
      <c r="W24" s="32">
        <v>0</v>
      </c>
      <c r="X24" s="33">
        <v>0</v>
      </c>
    </row>
    <row r="25" spans="1:24" x14ac:dyDescent="0.3">
      <c r="A25" s="51" t="s">
        <v>186</v>
      </c>
      <c r="B25" s="51" t="s">
        <v>222</v>
      </c>
      <c r="C25" s="45" t="s">
        <v>227</v>
      </c>
      <c r="D25" s="51" t="s">
        <v>251</v>
      </c>
      <c r="E25" s="45" t="s">
        <v>298</v>
      </c>
      <c r="F25" s="24" t="str">
        <f>HYPERLINK("https://mapwv.gov/flood/map/?wkid=102100&amp;x=-8807217.360500062&amp;y=4709426.947257544&amp;l=13&amp;v=2","FT")</f>
        <v>FT</v>
      </c>
      <c r="G25" s="29" t="s">
        <v>37</v>
      </c>
      <c r="H25" s="29" t="s">
        <v>24</v>
      </c>
      <c r="I25" s="2" t="s">
        <v>350</v>
      </c>
      <c r="J25" s="22" t="s">
        <v>25</v>
      </c>
      <c r="K25" s="46" t="s">
        <v>80</v>
      </c>
      <c r="L25" s="46" t="s">
        <v>44</v>
      </c>
      <c r="M25" s="45" t="s">
        <v>39</v>
      </c>
      <c r="N25" s="3" t="s">
        <v>40</v>
      </c>
      <c r="O25" s="46" t="s">
        <v>87</v>
      </c>
      <c r="P25" s="45" t="s">
        <v>401</v>
      </c>
      <c r="Q25" s="45" t="s">
        <v>41</v>
      </c>
      <c r="R25" s="23" t="s">
        <v>90</v>
      </c>
      <c r="S25" s="30">
        <v>177700</v>
      </c>
      <c r="T25" s="2" t="s">
        <v>42</v>
      </c>
      <c r="U25" s="31">
        <v>0</v>
      </c>
      <c r="V25" s="31">
        <v>-4</v>
      </c>
      <c r="W25" s="32">
        <v>0</v>
      </c>
      <c r="X25" s="33">
        <v>0</v>
      </c>
    </row>
    <row r="26" spans="1:24" x14ac:dyDescent="0.3">
      <c r="A26" s="51" t="s">
        <v>187</v>
      </c>
      <c r="B26" s="51" t="s">
        <v>222</v>
      </c>
      <c r="C26" s="45" t="s">
        <v>225</v>
      </c>
      <c r="D26" s="51" t="s">
        <v>252</v>
      </c>
      <c r="E26" s="45" t="s">
        <v>299</v>
      </c>
      <c r="F26" s="24" t="str">
        <f>HYPERLINK("https://mapwv.gov/flood/map/?wkid=102100&amp;x=-8814297.32308384&amp;y=4710494.688210843&amp;l=13&amp;v=2","FT")</f>
        <v>FT</v>
      </c>
      <c r="G26" s="29" t="s">
        <v>37</v>
      </c>
      <c r="H26" s="29" t="s">
        <v>24</v>
      </c>
      <c r="I26" s="2" t="s">
        <v>351</v>
      </c>
      <c r="J26" s="22" t="s">
        <v>38</v>
      </c>
      <c r="K26" s="46" t="s">
        <v>136</v>
      </c>
      <c r="L26" s="46" t="s">
        <v>36</v>
      </c>
      <c r="M26" s="45" t="s">
        <v>39</v>
      </c>
      <c r="N26" s="3" t="s">
        <v>40</v>
      </c>
      <c r="O26" s="46" t="s">
        <v>88</v>
      </c>
      <c r="P26" s="45" t="s">
        <v>402</v>
      </c>
      <c r="Q26" s="45" t="s">
        <v>29</v>
      </c>
      <c r="R26" s="23" t="s">
        <v>89</v>
      </c>
      <c r="S26" s="30">
        <v>172900</v>
      </c>
      <c r="T26" s="2" t="s">
        <v>42</v>
      </c>
      <c r="U26" s="31">
        <v>0</v>
      </c>
      <c r="V26" s="31">
        <v>-1</v>
      </c>
      <c r="W26" s="32">
        <v>0</v>
      </c>
      <c r="X26" s="33">
        <v>0</v>
      </c>
    </row>
    <row r="27" spans="1:24" x14ac:dyDescent="0.3">
      <c r="A27" s="51" t="s">
        <v>188</v>
      </c>
      <c r="B27" s="51" t="s">
        <v>222</v>
      </c>
      <c r="C27" s="45" t="s">
        <v>227</v>
      </c>
      <c r="D27" s="51" t="s">
        <v>253</v>
      </c>
      <c r="E27" s="45" t="s">
        <v>300</v>
      </c>
      <c r="F27" s="24" t="str">
        <f>HYPERLINK("https://mapwv.gov/flood/map/?wkid=102100&amp;x=-8806028.718028009&amp;y=4712658.778687885&amp;l=13&amp;v=2","FT")</f>
        <v>FT</v>
      </c>
      <c r="G27" s="29" t="s">
        <v>37</v>
      </c>
      <c r="H27" s="29" t="s">
        <v>24</v>
      </c>
      <c r="I27" s="2" t="s">
        <v>352</v>
      </c>
      <c r="J27" s="22" t="s">
        <v>25</v>
      </c>
      <c r="K27" s="46" t="s">
        <v>82</v>
      </c>
      <c r="L27" s="46" t="s">
        <v>44</v>
      </c>
      <c r="M27" s="45" t="s">
        <v>39</v>
      </c>
      <c r="N27" s="3" t="s">
        <v>40</v>
      </c>
      <c r="O27" s="46" t="s">
        <v>87</v>
      </c>
      <c r="P27" s="45" t="s">
        <v>403</v>
      </c>
      <c r="Q27" s="45" t="s">
        <v>41</v>
      </c>
      <c r="R27" s="23" t="s">
        <v>90</v>
      </c>
      <c r="S27" s="30">
        <v>166700</v>
      </c>
      <c r="T27" s="2" t="s">
        <v>42</v>
      </c>
      <c r="U27" s="31">
        <v>0</v>
      </c>
      <c r="V27" s="31">
        <v>-4</v>
      </c>
      <c r="W27" s="32">
        <v>0</v>
      </c>
      <c r="X27" s="33">
        <v>0</v>
      </c>
    </row>
    <row r="28" spans="1:24" x14ac:dyDescent="0.3">
      <c r="A28" s="51" t="s">
        <v>189</v>
      </c>
      <c r="B28" s="51" t="s">
        <v>222</v>
      </c>
      <c r="C28" s="45" t="s">
        <v>230</v>
      </c>
      <c r="D28" s="51" t="s">
        <v>254</v>
      </c>
      <c r="E28" s="45" t="s">
        <v>301</v>
      </c>
      <c r="F28" s="24" t="str">
        <f>HYPERLINK("https://mapwv.gov/flood/map/?wkid=102100&amp;x=-8812105.391325792&amp;y=4722129.756660842&amp;l=13&amp;v=2","FT")</f>
        <v>FT</v>
      </c>
      <c r="G28" s="29" t="s">
        <v>37</v>
      </c>
      <c r="H28" s="29" t="s">
        <v>24</v>
      </c>
      <c r="I28" s="2" t="s">
        <v>353</v>
      </c>
      <c r="J28" s="22" t="s">
        <v>38</v>
      </c>
      <c r="K28" s="46" t="s">
        <v>130</v>
      </c>
      <c r="L28" s="46" t="s">
        <v>26</v>
      </c>
      <c r="M28" s="45" t="s">
        <v>56</v>
      </c>
      <c r="N28" s="3" t="s">
        <v>85</v>
      </c>
      <c r="O28" s="46" t="s">
        <v>88</v>
      </c>
      <c r="P28" s="45" t="s">
        <v>404</v>
      </c>
      <c r="Q28" s="45" t="s">
        <v>29</v>
      </c>
      <c r="R28" s="23" t="s">
        <v>89</v>
      </c>
      <c r="S28" s="30">
        <v>161600</v>
      </c>
      <c r="T28" s="2" t="s">
        <v>30</v>
      </c>
      <c r="U28" s="31">
        <v>0</v>
      </c>
      <c r="V28" s="31">
        <v>-1</v>
      </c>
      <c r="W28" s="32">
        <v>0</v>
      </c>
      <c r="X28" s="33">
        <v>0</v>
      </c>
    </row>
    <row r="29" spans="1:24" x14ac:dyDescent="0.3">
      <c r="A29" s="51" t="s">
        <v>190</v>
      </c>
      <c r="B29" s="51" t="s">
        <v>222</v>
      </c>
      <c r="C29" s="45" t="s">
        <v>227</v>
      </c>
      <c r="D29" s="51" t="s">
        <v>255</v>
      </c>
      <c r="E29" s="45" t="s">
        <v>302</v>
      </c>
      <c r="F29" s="24" t="str">
        <f>HYPERLINK("https://mapwv.gov/flood/map/?wkid=102100&amp;x=-8810071.616956929&amp;y=4703493.614933919&amp;l=13&amp;v=2","FT")</f>
        <v>FT</v>
      </c>
      <c r="G29" s="29" t="s">
        <v>37</v>
      </c>
      <c r="H29" s="29" t="s">
        <v>24</v>
      </c>
      <c r="I29" s="2" t="s">
        <v>354</v>
      </c>
      <c r="J29" s="22" t="s">
        <v>38</v>
      </c>
      <c r="K29" s="46" t="s">
        <v>133</v>
      </c>
      <c r="L29" s="46" t="s">
        <v>51</v>
      </c>
      <c r="M29" s="45" t="s">
        <v>61</v>
      </c>
      <c r="N29" s="3" t="s">
        <v>34</v>
      </c>
      <c r="O29" s="46" t="s">
        <v>88</v>
      </c>
      <c r="P29" s="45" t="s">
        <v>405</v>
      </c>
      <c r="Q29" s="45" t="s">
        <v>41</v>
      </c>
      <c r="R29" s="23" t="s">
        <v>90</v>
      </c>
      <c r="S29" s="30">
        <v>156200</v>
      </c>
      <c r="T29" s="2" t="s">
        <v>30</v>
      </c>
      <c r="U29" s="31">
        <v>3</v>
      </c>
      <c r="V29" s="31">
        <v>-1</v>
      </c>
      <c r="W29" s="32">
        <v>0</v>
      </c>
      <c r="X29" s="33">
        <v>0</v>
      </c>
    </row>
    <row r="30" spans="1:24" x14ac:dyDescent="0.3">
      <c r="A30" s="51" t="s">
        <v>191</v>
      </c>
      <c r="B30" s="51" t="s">
        <v>221</v>
      </c>
      <c r="C30" s="45" t="s">
        <v>226</v>
      </c>
      <c r="D30" s="51" t="s">
        <v>256</v>
      </c>
      <c r="E30" s="45" t="s">
        <v>303</v>
      </c>
      <c r="F30" s="24" t="str">
        <f>HYPERLINK("https://mapwv.gov/flood/map/?wkid=102100&amp;x=-8807092.173606345&amp;y=4720718.0575840715&amp;l=13&amp;v=2","FT")</f>
        <v>FT</v>
      </c>
      <c r="G30" s="29" t="s">
        <v>333</v>
      </c>
      <c r="H30" s="29" t="s">
        <v>24</v>
      </c>
      <c r="I30" s="2" t="s">
        <v>355</v>
      </c>
      <c r="J30" s="22" t="s">
        <v>38</v>
      </c>
      <c r="K30" s="46" t="s">
        <v>108</v>
      </c>
      <c r="L30" s="46" t="s">
        <v>26</v>
      </c>
      <c r="M30" s="45" t="s">
        <v>45</v>
      </c>
      <c r="N30" s="3" t="s">
        <v>34</v>
      </c>
      <c r="O30" s="46" t="s">
        <v>88</v>
      </c>
      <c r="P30" s="45" t="s">
        <v>406</v>
      </c>
      <c r="Q30" s="45" t="s">
        <v>29</v>
      </c>
      <c r="R30" s="23" t="s">
        <v>89</v>
      </c>
      <c r="S30" s="30">
        <v>152700</v>
      </c>
      <c r="T30" s="2" t="s">
        <v>42</v>
      </c>
      <c r="U30" s="31">
        <v>1</v>
      </c>
      <c r="V30" s="31">
        <v>0</v>
      </c>
      <c r="W30" s="32">
        <v>0.01</v>
      </c>
      <c r="X30" s="33">
        <v>1527</v>
      </c>
    </row>
    <row r="31" spans="1:24" x14ac:dyDescent="0.3">
      <c r="A31" s="51" t="s">
        <v>192</v>
      </c>
      <c r="B31" s="51" t="s">
        <v>222</v>
      </c>
      <c r="C31" s="45" t="s">
        <v>226</v>
      </c>
      <c r="D31" s="51" t="s">
        <v>257</v>
      </c>
      <c r="E31" s="45" t="s">
        <v>304</v>
      </c>
      <c r="F31" s="24" t="str">
        <f>HYPERLINK("https://mapwv.gov/flood/map/?wkid=102100&amp;x=-8806145.038880885&amp;y=4719391.9993571695&amp;l=13&amp;v=2","FT")</f>
        <v>FT</v>
      </c>
      <c r="G31" s="29" t="s">
        <v>31</v>
      </c>
      <c r="H31" s="29" t="s">
        <v>24</v>
      </c>
      <c r="I31" s="2" t="s">
        <v>356</v>
      </c>
      <c r="J31" s="22" t="s">
        <v>38</v>
      </c>
      <c r="K31" s="46" t="s">
        <v>382</v>
      </c>
      <c r="L31" s="46" t="s">
        <v>26</v>
      </c>
      <c r="M31" s="45" t="s">
        <v>39</v>
      </c>
      <c r="N31" s="3" t="s">
        <v>40</v>
      </c>
      <c r="O31" s="46" t="s">
        <v>88</v>
      </c>
      <c r="P31" s="45" t="s">
        <v>407</v>
      </c>
      <c r="Q31" s="45" t="s">
        <v>41</v>
      </c>
      <c r="R31" s="23" t="s">
        <v>90</v>
      </c>
      <c r="S31" s="30">
        <v>152500</v>
      </c>
      <c r="T31" s="2" t="s">
        <v>42</v>
      </c>
      <c r="U31" s="31">
        <v>4.9398192999999999</v>
      </c>
      <c r="V31" s="31">
        <v>0.9398193359375</v>
      </c>
      <c r="W31" s="32">
        <v>0.20879638671875</v>
      </c>
      <c r="X31" s="33">
        <v>31841.448974609299</v>
      </c>
    </row>
    <row r="32" spans="1:24" x14ac:dyDescent="0.3">
      <c r="A32" s="51" t="s">
        <v>193</v>
      </c>
      <c r="B32" s="51" t="s">
        <v>222</v>
      </c>
      <c r="C32" s="45" t="s">
        <v>225</v>
      </c>
      <c r="D32" s="51" t="s">
        <v>258</v>
      </c>
      <c r="E32" s="45" t="s">
        <v>305</v>
      </c>
      <c r="F32" s="24" t="str">
        <f>HYPERLINK("https://mapwv.gov/flood/map/?wkid=102100&amp;x=-8808977.8784696&amp;y=4715635.55045526&amp;l=13&amp;v=2","FT")</f>
        <v>FT</v>
      </c>
      <c r="G32" s="29" t="s">
        <v>37</v>
      </c>
      <c r="H32" s="29" t="s">
        <v>24</v>
      </c>
      <c r="I32" s="2" t="s">
        <v>357</v>
      </c>
      <c r="J32" s="22" t="s">
        <v>38</v>
      </c>
      <c r="K32" s="46" t="s">
        <v>383</v>
      </c>
      <c r="L32" s="46" t="s">
        <v>55</v>
      </c>
      <c r="M32" s="45" t="s">
        <v>39</v>
      </c>
      <c r="N32" s="3" t="s">
        <v>40</v>
      </c>
      <c r="O32" s="46" t="s">
        <v>88</v>
      </c>
      <c r="P32" s="45" t="s">
        <v>133</v>
      </c>
      <c r="Q32" s="45" t="s">
        <v>41</v>
      </c>
      <c r="R32" s="23" t="s">
        <v>90</v>
      </c>
      <c r="S32" s="30">
        <v>152000</v>
      </c>
      <c r="T32" s="2" t="s">
        <v>42</v>
      </c>
      <c r="U32" s="31">
        <v>0</v>
      </c>
      <c r="V32" s="31">
        <v>-4</v>
      </c>
      <c r="W32" s="32">
        <v>0</v>
      </c>
      <c r="X32" s="33">
        <v>0</v>
      </c>
    </row>
    <row r="33" spans="1:24" x14ac:dyDescent="0.3">
      <c r="A33" s="51" t="s">
        <v>194</v>
      </c>
      <c r="B33" s="51" t="s">
        <v>222</v>
      </c>
      <c r="C33" s="45" t="s">
        <v>231</v>
      </c>
      <c r="D33" s="51" t="s">
        <v>259</v>
      </c>
      <c r="E33" s="45" t="s">
        <v>306</v>
      </c>
      <c r="F33" s="24" t="str">
        <f>HYPERLINK("https://mapwv.gov/flood/map/?wkid=102100&amp;x=-8817992.339141872&amp;y=4766735.670976569&amp;l=13&amp;v=2","FT")</f>
        <v>FT</v>
      </c>
      <c r="G33" s="29" t="s">
        <v>37</v>
      </c>
      <c r="H33" s="29" t="s">
        <v>24</v>
      </c>
      <c r="I33" s="2" t="s">
        <v>358</v>
      </c>
      <c r="J33" s="22" t="s">
        <v>38</v>
      </c>
      <c r="K33" s="46" t="s">
        <v>126</v>
      </c>
      <c r="L33" s="46" t="s">
        <v>55</v>
      </c>
      <c r="M33" s="45" t="s">
        <v>39</v>
      </c>
      <c r="N33" s="3" t="s">
        <v>40</v>
      </c>
      <c r="O33" s="46" t="s">
        <v>87</v>
      </c>
      <c r="P33" s="45" t="s">
        <v>408</v>
      </c>
      <c r="Q33" s="45" t="s">
        <v>41</v>
      </c>
      <c r="R33" s="23" t="s">
        <v>90</v>
      </c>
      <c r="S33" s="30">
        <v>151900</v>
      </c>
      <c r="T33" s="2" t="s">
        <v>30</v>
      </c>
      <c r="U33" s="31">
        <v>0</v>
      </c>
      <c r="V33" s="31">
        <v>-4</v>
      </c>
      <c r="W33" s="32">
        <v>0</v>
      </c>
      <c r="X33" s="33">
        <v>0</v>
      </c>
    </row>
    <row r="34" spans="1:24" x14ac:dyDescent="0.3">
      <c r="A34" s="51" t="s">
        <v>195</v>
      </c>
      <c r="B34" s="51" t="s">
        <v>222</v>
      </c>
      <c r="C34" s="45" t="s">
        <v>224</v>
      </c>
      <c r="D34" s="51" t="s">
        <v>260</v>
      </c>
      <c r="E34" s="45" t="s">
        <v>307</v>
      </c>
      <c r="F34" s="24" t="str">
        <f>HYPERLINK("https://mapwv.gov/flood/map/?wkid=102100&amp;x=-8826053.972655213&amp;y=4717478.257753926&amp;l=13&amp;v=2","FT")</f>
        <v>FT</v>
      </c>
      <c r="G34" s="29" t="s">
        <v>37</v>
      </c>
      <c r="H34" s="29" t="s">
        <v>24</v>
      </c>
      <c r="I34" s="2" t="s">
        <v>359</v>
      </c>
      <c r="J34" s="22" t="s">
        <v>25</v>
      </c>
      <c r="K34" s="46" t="s">
        <v>116</v>
      </c>
      <c r="L34" s="46"/>
      <c r="M34" s="45" t="s">
        <v>56</v>
      </c>
      <c r="N34" s="3" t="s">
        <v>85</v>
      </c>
      <c r="O34" s="46" t="s">
        <v>87</v>
      </c>
      <c r="P34" s="45" t="s">
        <v>409</v>
      </c>
      <c r="Q34" s="45" t="s">
        <v>29</v>
      </c>
      <c r="R34" s="23" t="s">
        <v>89</v>
      </c>
      <c r="S34" s="30">
        <v>146895</v>
      </c>
      <c r="T34" s="2" t="s">
        <v>91</v>
      </c>
      <c r="U34" s="31">
        <v>0</v>
      </c>
      <c r="V34" s="31">
        <v>-1</v>
      </c>
      <c r="W34" s="32">
        <v>0</v>
      </c>
      <c r="X34" s="33">
        <v>0</v>
      </c>
    </row>
    <row r="35" spans="1:24" x14ac:dyDescent="0.3">
      <c r="A35" s="51" t="s">
        <v>196</v>
      </c>
      <c r="B35" s="51" t="s">
        <v>221</v>
      </c>
      <c r="C35" s="45" t="s">
        <v>223</v>
      </c>
      <c r="D35" s="51" t="s">
        <v>261</v>
      </c>
      <c r="E35" s="45" t="s">
        <v>308</v>
      </c>
      <c r="F35" s="24" t="str">
        <f>HYPERLINK("https://mapwv.gov/flood/map/?wkid=102100&amp;x=-8808009.988447722&amp;y=4721747.90636335&amp;l=13&amp;v=2","FT")</f>
        <v>FT</v>
      </c>
      <c r="G35" s="29" t="s">
        <v>37</v>
      </c>
      <c r="H35" s="29" t="s">
        <v>24</v>
      </c>
      <c r="I35" s="2" t="s">
        <v>360</v>
      </c>
      <c r="J35" s="22" t="s">
        <v>38</v>
      </c>
      <c r="K35" s="46" t="s">
        <v>122</v>
      </c>
      <c r="L35" s="46" t="s">
        <v>32</v>
      </c>
      <c r="M35" s="45" t="s">
        <v>103</v>
      </c>
      <c r="N35" s="3" t="s">
        <v>34</v>
      </c>
      <c r="O35" s="46" t="s">
        <v>88</v>
      </c>
      <c r="P35" s="45" t="s">
        <v>410</v>
      </c>
      <c r="Q35" s="45" t="s">
        <v>29</v>
      </c>
      <c r="R35" s="23" t="s">
        <v>89</v>
      </c>
      <c r="S35" s="30">
        <v>139800</v>
      </c>
      <c r="T35" s="2" t="s">
        <v>42</v>
      </c>
      <c r="U35" s="31">
        <v>0</v>
      </c>
      <c r="V35" s="31">
        <v>-1</v>
      </c>
      <c r="W35" s="32">
        <v>0</v>
      </c>
      <c r="X35" s="33">
        <v>0</v>
      </c>
    </row>
    <row r="36" spans="1:24" x14ac:dyDescent="0.3">
      <c r="A36" s="51" t="s">
        <v>197</v>
      </c>
      <c r="B36" s="51" t="s">
        <v>222</v>
      </c>
      <c r="C36" s="45" t="s">
        <v>223</v>
      </c>
      <c r="D36" s="51" t="s">
        <v>237</v>
      </c>
      <c r="E36" s="45" t="s">
        <v>309</v>
      </c>
      <c r="F36" s="24" t="str">
        <f>HYPERLINK("https://mapwv.gov/flood/map/?wkid=102100&amp;x=-8808753.455927128&amp;y=4722799.686040017&amp;l=13&amp;v=2","FT")</f>
        <v>FT</v>
      </c>
      <c r="G36" s="29" t="s">
        <v>37</v>
      </c>
      <c r="H36" s="29" t="s">
        <v>24</v>
      </c>
      <c r="I36" s="2" t="s">
        <v>336</v>
      </c>
      <c r="J36" s="22" t="s">
        <v>25</v>
      </c>
      <c r="K36" s="46" t="s">
        <v>72</v>
      </c>
      <c r="L36" s="46" t="s">
        <v>26</v>
      </c>
      <c r="M36" s="45" t="s">
        <v>103</v>
      </c>
      <c r="N36" s="3" t="s">
        <v>34</v>
      </c>
      <c r="O36" s="46" t="s">
        <v>87</v>
      </c>
      <c r="P36" s="45" t="s">
        <v>411</v>
      </c>
      <c r="Q36" s="45" t="s">
        <v>29</v>
      </c>
      <c r="R36" s="23" t="s">
        <v>89</v>
      </c>
      <c r="S36" s="30">
        <v>138100</v>
      </c>
      <c r="T36" s="2" t="s">
        <v>30</v>
      </c>
      <c r="U36" s="31">
        <v>0</v>
      </c>
      <c r="V36" s="31">
        <v>-1</v>
      </c>
      <c r="W36" s="32">
        <v>0</v>
      </c>
      <c r="X36" s="33">
        <v>0</v>
      </c>
    </row>
    <row r="37" spans="1:24" x14ac:dyDescent="0.3">
      <c r="A37" s="51" t="s">
        <v>198</v>
      </c>
      <c r="B37" s="51" t="s">
        <v>222</v>
      </c>
      <c r="C37" s="45" t="s">
        <v>223</v>
      </c>
      <c r="D37" s="51" t="s">
        <v>262</v>
      </c>
      <c r="E37" s="45" t="s">
        <v>310</v>
      </c>
      <c r="F37" s="24" t="str">
        <f>HYPERLINK("https://mapwv.gov/flood/map/?wkid=102100&amp;x=-8808742.804989573&amp;y=4724029.803548446&amp;l=13&amp;v=2","FT")</f>
        <v>FT</v>
      </c>
      <c r="G37" s="29" t="s">
        <v>37</v>
      </c>
      <c r="H37" s="29" t="s">
        <v>24</v>
      </c>
      <c r="I37" s="2" t="s">
        <v>361</v>
      </c>
      <c r="J37" s="22" t="s">
        <v>25</v>
      </c>
      <c r="K37" s="46" t="s">
        <v>108</v>
      </c>
      <c r="L37" s="46" t="s">
        <v>36</v>
      </c>
      <c r="M37" s="45" t="s">
        <v>103</v>
      </c>
      <c r="N37" s="3" t="s">
        <v>34</v>
      </c>
      <c r="O37" s="46" t="s">
        <v>87</v>
      </c>
      <c r="P37" s="45" t="s">
        <v>412</v>
      </c>
      <c r="Q37" s="45" t="s">
        <v>29</v>
      </c>
      <c r="R37" s="23" t="s">
        <v>89</v>
      </c>
      <c r="S37" s="30">
        <v>135100</v>
      </c>
      <c r="T37" s="2" t="s">
        <v>42</v>
      </c>
      <c r="U37" s="31">
        <v>4</v>
      </c>
      <c r="V37" s="31">
        <v>3</v>
      </c>
      <c r="W37" s="32">
        <v>0.13</v>
      </c>
      <c r="X37" s="33">
        <v>17563</v>
      </c>
    </row>
    <row r="38" spans="1:24" x14ac:dyDescent="0.3">
      <c r="A38" s="51" t="s">
        <v>199</v>
      </c>
      <c r="B38" s="51" t="s">
        <v>222</v>
      </c>
      <c r="C38" s="45" t="s">
        <v>224</v>
      </c>
      <c r="D38" s="51" t="s">
        <v>263</v>
      </c>
      <c r="E38" s="45" t="s">
        <v>311</v>
      </c>
      <c r="F38" s="24" t="str">
        <f>HYPERLINK("https://mapwv.gov/flood/map/?wkid=102100&amp;x=-8819469.217943175&amp;y=4719355.3209668975&amp;l=13&amp;v=2","FT")</f>
        <v>FT</v>
      </c>
      <c r="G38" s="29" t="s">
        <v>37</v>
      </c>
      <c r="H38" s="29" t="s">
        <v>24</v>
      </c>
      <c r="I38" s="2" t="s">
        <v>362</v>
      </c>
      <c r="J38" s="22" t="s">
        <v>25</v>
      </c>
      <c r="K38" s="46" t="s">
        <v>123</v>
      </c>
      <c r="L38" s="46" t="s">
        <v>26</v>
      </c>
      <c r="M38" s="45" t="s">
        <v>39</v>
      </c>
      <c r="N38" s="3" t="s">
        <v>40</v>
      </c>
      <c r="O38" s="46" t="s">
        <v>87</v>
      </c>
      <c r="P38" s="45" t="s">
        <v>413</v>
      </c>
      <c r="Q38" s="45" t="s">
        <v>29</v>
      </c>
      <c r="R38" s="23" t="s">
        <v>89</v>
      </c>
      <c r="S38" s="30">
        <v>133400</v>
      </c>
      <c r="T38" s="2" t="s">
        <v>42</v>
      </c>
      <c r="U38" s="31">
        <v>0</v>
      </c>
      <c r="V38" s="31">
        <v>-1</v>
      </c>
      <c r="W38" s="32">
        <v>0</v>
      </c>
      <c r="X38" s="33">
        <v>0</v>
      </c>
    </row>
    <row r="39" spans="1:24" x14ac:dyDescent="0.3">
      <c r="A39" s="51" t="s">
        <v>200</v>
      </c>
      <c r="B39" s="51" t="s">
        <v>222</v>
      </c>
      <c r="C39" s="45" t="s">
        <v>228</v>
      </c>
      <c r="D39" s="51" t="s">
        <v>264</v>
      </c>
      <c r="E39" s="45" t="s">
        <v>312</v>
      </c>
      <c r="F39" s="24" t="str">
        <f>HYPERLINK("https://mapwv.gov/flood/map/?wkid=102100&amp;x=-8808730.662259514&amp;y=4733205.575586397&amp;l=13&amp;v=2","FT")</f>
        <v>FT</v>
      </c>
      <c r="G39" s="29" t="s">
        <v>37</v>
      </c>
      <c r="H39" s="29" t="s">
        <v>24</v>
      </c>
      <c r="I39" s="2" t="s">
        <v>363</v>
      </c>
      <c r="J39" s="22" t="s">
        <v>38</v>
      </c>
      <c r="K39" s="46" t="s">
        <v>96</v>
      </c>
      <c r="L39" s="46" t="s">
        <v>55</v>
      </c>
      <c r="M39" s="45" t="s">
        <v>39</v>
      </c>
      <c r="N39" s="3" t="s">
        <v>40</v>
      </c>
      <c r="O39" s="46" t="s">
        <v>87</v>
      </c>
      <c r="P39" s="45" t="s">
        <v>414</v>
      </c>
      <c r="Q39" s="45" t="s">
        <v>50</v>
      </c>
      <c r="R39" s="23" t="s">
        <v>105</v>
      </c>
      <c r="S39" s="30">
        <v>132300</v>
      </c>
      <c r="T39" s="2" t="s">
        <v>42</v>
      </c>
      <c r="U39" s="31">
        <v>2</v>
      </c>
      <c r="V39" s="31">
        <v>-1</v>
      </c>
      <c r="W39" s="32">
        <v>0.03</v>
      </c>
      <c r="X39" s="33">
        <v>3969</v>
      </c>
    </row>
    <row r="40" spans="1:24" x14ac:dyDescent="0.3">
      <c r="A40" s="51" t="s">
        <v>201</v>
      </c>
      <c r="B40" s="51" t="s">
        <v>222</v>
      </c>
      <c r="C40" s="45" t="s">
        <v>229</v>
      </c>
      <c r="D40" s="51" t="s">
        <v>265</v>
      </c>
      <c r="E40" s="45" t="s">
        <v>313</v>
      </c>
      <c r="F40" s="24" t="str">
        <f>HYPERLINK("https://mapwv.gov/flood/map/?wkid=102100&amp;x=-8802094.885817345&amp;y=4744221.942112758&amp;l=13&amp;v=2","FT")</f>
        <v>FT</v>
      </c>
      <c r="G40" s="29" t="s">
        <v>37</v>
      </c>
      <c r="H40" s="29" t="s">
        <v>24</v>
      </c>
      <c r="I40" s="2" t="s">
        <v>364</v>
      </c>
      <c r="J40" s="22" t="s">
        <v>25</v>
      </c>
      <c r="K40" s="46" t="s">
        <v>108</v>
      </c>
      <c r="L40" s="46" t="s">
        <v>55</v>
      </c>
      <c r="M40" s="45" t="s">
        <v>61</v>
      </c>
      <c r="N40" s="3" t="s">
        <v>34</v>
      </c>
      <c r="O40" s="46" t="s">
        <v>87</v>
      </c>
      <c r="P40" s="45" t="s">
        <v>415</v>
      </c>
      <c r="Q40" s="45" t="s">
        <v>41</v>
      </c>
      <c r="R40" s="23" t="s">
        <v>90</v>
      </c>
      <c r="S40" s="30">
        <v>127270</v>
      </c>
      <c r="T40" s="2" t="s">
        <v>30</v>
      </c>
      <c r="U40" s="31">
        <v>0</v>
      </c>
      <c r="V40" s="31">
        <v>-4</v>
      </c>
      <c r="W40" s="32">
        <v>0</v>
      </c>
      <c r="X40" s="33">
        <v>0</v>
      </c>
    </row>
    <row r="41" spans="1:24" x14ac:dyDescent="0.3">
      <c r="A41" s="51" t="s">
        <v>202</v>
      </c>
      <c r="B41" s="51" t="s">
        <v>222</v>
      </c>
      <c r="C41" s="45" t="s">
        <v>228</v>
      </c>
      <c r="D41" s="51" t="s">
        <v>266</v>
      </c>
      <c r="E41" s="45" t="s">
        <v>314</v>
      </c>
      <c r="F41" s="24" t="str">
        <f>HYPERLINK("https://mapwv.gov/flood/map/?wkid=102100&amp;x=-8812718.673443707&amp;y=4738406.904365366&amp;l=13&amp;v=2","FT")</f>
        <v>FT</v>
      </c>
      <c r="G41" s="29" t="s">
        <v>37</v>
      </c>
      <c r="H41" s="29" t="s">
        <v>24</v>
      </c>
      <c r="I41" s="2" t="s">
        <v>365</v>
      </c>
      <c r="J41" s="22" t="s">
        <v>38</v>
      </c>
      <c r="K41" s="46" t="s">
        <v>141</v>
      </c>
      <c r="L41" s="46" t="s">
        <v>26</v>
      </c>
      <c r="M41" s="45" t="s">
        <v>39</v>
      </c>
      <c r="N41" s="3" t="s">
        <v>40</v>
      </c>
      <c r="O41" s="46" t="s">
        <v>88</v>
      </c>
      <c r="P41" s="45" t="s">
        <v>416</v>
      </c>
      <c r="Q41" s="45" t="s">
        <v>50</v>
      </c>
      <c r="R41" s="23" t="s">
        <v>105</v>
      </c>
      <c r="S41" s="30">
        <v>125900</v>
      </c>
      <c r="T41" s="2" t="s">
        <v>42</v>
      </c>
      <c r="U41" s="31">
        <v>3</v>
      </c>
      <c r="V41" s="31">
        <v>0</v>
      </c>
      <c r="W41" s="32">
        <v>0.11</v>
      </c>
      <c r="X41" s="33">
        <v>13849</v>
      </c>
    </row>
    <row r="42" spans="1:24" x14ac:dyDescent="0.3">
      <c r="A42" s="51" t="s">
        <v>203</v>
      </c>
      <c r="B42" s="51" t="s">
        <v>222</v>
      </c>
      <c r="C42" s="45" t="s">
        <v>224</v>
      </c>
      <c r="D42" s="51" t="s">
        <v>236</v>
      </c>
      <c r="E42" s="45" t="s">
        <v>315</v>
      </c>
      <c r="F42" s="24" t="str">
        <f>HYPERLINK("https://mapwv.gov/flood/map/?wkid=102100&amp;x=-8823792.017152594&amp;y=4719703.654313103&amp;l=13&amp;v=2","FT")</f>
        <v>FT</v>
      </c>
      <c r="G42" s="29" t="s">
        <v>37</v>
      </c>
      <c r="H42" s="29" t="s">
        <v>24</v>
      </c>
      <c r="I42" s="2" t="s">
        <v>335</v>
      </c>
      <c r="J42" s="22" t="s">
        <v>25</v>
      </c>
      <c r="K42" s="46" t="s">
        <v>108</v>
      </c>
      <c r="L42" s="46" t="s">
        <v>36</v>
      </c>
      <c r="M42" s="45" t="s">
        <v>60</v>
      </c>
      <c r="N42" s="3" t="s">
        <v>40</v>
      </c>
      <c r="O42" s="46" t="s">
        <v>88</v>
      </c>
      <c r="P42" s="45" t="s">
        <v>417</v>
      </c>
      <c r="Q42" s="45" t="s">
        <v>29</v>
      </c>
      <c r="R42" s="23" t="s">
        <v>89</v>
      </c>
      <c r="S42" s="30">
        <v>122900</v>
      </c>
      <c r="T42" s="2" t="s">
        <v>30</v>
      </c>
      <c r="U42" s="31">
        <v>0</v>
      </c>
      <c r="V42" s="31">
        <v>-1</v>
      </c>
      <c r="W42" s="32">
        <v>0</v>
      </c>
      <c r="X42" s="33">
        <v>0</v>
      </c>
    </row>
    <row r="43" spans="1:24" x14ac:dyDescent="0.3">
      <c r="A43" s="51" t="s">
        <v>204</v>
      </c>
      <c r="B43" s="51" t="s">
        <v>222</v>
      </c>
      <c r="C43" s="45" t="s">
        <v>227</v>
      </c>
      <c r="D43" s="51" t="s">
        <v>267</v>
      </c>
      <c r="E43" s="45" t="s">
        <v>316</v>
      </c>
      <c r="F43" s="24" t="str">
        <f>HYPERLINK("https://mapwv.gov/flood/map/?wkid=102100&amp;x=-8805698.491096279&amp;y=4712550.56261803&amp;l=13&amp;v=2","FT")</f>
        <v>FT</v>
      </c>
      <c r="G43" s="29" t="s">
        <v>37</v>
      </c>
      <c r="H43" s="29" t="s">
        <v>24</v>
      </c>
      <c r="I43" s="2" t="s">
        <v>366</v>
      </c>
      <c r="J43" s="22" t="s">
        <v>38</v>
      </c>
      <c r="K43" s="46" t="s">
        <v>161</v>
      </c>
      <c r="L43" s="46" t="s">
        <v>55</v>
      </c>
      <c r="M43" s="45" t="s">
        <v>39</v>
      </c>
      <c r="N43" s="3" t="s">
        <v>40</v>
      </c>
      <c r="O43" s="46" t="s">
        <v>87</v>
      </c>
      <c r="P43" s="45" t="s">
        <v>418</v>
      </c>
      <c r="Q43" s="45" t="s">
        <v>29</v>
      </c>
      <c r="R43" s="23" t="s">
        <v>89</v>
      </c>
      <c r="S43" s="30">
        <v>120600</v>
      </c>
      <c r="T43" s="2" t="s">
        <v>42</v>
      </c>
      <c r="U43" s="31">
        <v>1</v>
      </c>
      <c r="V43" s="31">
        <v>0</v>
      </c>
      <c r="W43" s="32">
        <v>0.13</v>
      </c>
      <c r="X43" s="33">
        <v>15678</v>
      </c>
    </row>
    <row r="44" spans="1:24" x14ac:dyDescent="0.3">
      <c r="A44" s="51" t="s">
        <v>205</v>
      </c>
      <c r="B44" s="51" t="s">
        <v>222</v>
      </c>
      <c r="C44" s="45" t="s">
        <v>229</v>
      </c>
      <c r="D44" s="51" t="s">
        <v>265</v>
      </c>
      <c r="E44" s="45" t="s">
        <v>317</v>
      </c>
      <c r="F44" s="24" t="str">
        <f>HYPERLINK("https://mapwv.gov/flood/map/?wkid=102100&amp;x=-8802034.319665391&amp;y=4744249.835484944&amp;l=13&amp;v=2","FT")</f>
        <v>FT</v>
      </c>
      <c r="G44" s="29" t="s">
        <v>37</v>
      </c>
      <c r="H44" s="29" t="s">
        <v>24</v>
      </c>
      <c r="I44" s="2" t="s">
        <v>364</v>
      </c>
      <c r="J44" s="22" t="s">
        <v>25</v>
      </c>
      <c r="K44" s="46" t="s">
        <v>108</v>
      </c>
      <c r="L44" s="46" t="s">
        <v>55</v>
      </c>
      <c r="M44" s="45" t="s">
        <v>61</v>
      </c>
      <c r="N44" s="3" t="s">
        <v>34</v>
      </c>
      <c r="O44" s="46" t="s">
        <v>87</v>
      </c>
      <c r="P44" s="45" t="s">
        <v>419</v>
      </c>
      <c r="Q44" s="45" t="s">
        <v>41</v>
      </c>
      <c r="R44" s="23" t="s">
        <v>90</v>
      </c>
      <c r="S44" s="30">
        <v>119260</v>
      </c>
      <c r="T44" s="2" t="s">
        <v>30</v>
      </c>
      <c r="U44" s="31">
        <v>4</v>
      </c>
      <c r="V44" s="31">
        <v>0</v>
      </c>
      <c r="W44" s="32">
        <v>0</v>
      </c>
      <c r="X44" s="33">
        <v>0</v>
      </c>
    </row>
    <row r="45" spans="1:24" x14ac:dyDescent="0.3">
      <c r="A45" s="51" t="s">
        <v>206</v>
      </c>
      <c r="B45" s="51" t="s">
        <v>222</v>
      </c>
      <c r="C45" s="45" t="s">
        <v>225</v>
      </c>
      <c r="D45" s="51" t="s">
        <v>268</v>
      </c>
      <c r="E45" s="45" t="s">
        <v>318</v>
      </c>
      <c r="F45" s="24" t="str">
        <f>HYPERLINK("https://mapwv.gov/flood/map/?wkid=102100&amp;x=-8811247.295161089&amp;y=4714216.887932955&amp;l=13&amp;v=2","FT")</f>
        <v>FT</v>
      </c>
      <c r="G45" s="29" t="s">
        <v>37</v>
      </c>
      <c r="H45" s="29" t="s">
        <v>24</v>
      </c>
      <c r="I45" s="2" t="s">
        <v>367</v>
      </c>
      <c r="J45" s="22" t="s">
        <v>25</v>
      </c>
      <c r="K45" s="46" t="s">
        <v>93</v>
      </c>
      <c r="L45" s="46" t="s">
        <v>26</v>
      </c>
      <c r="M45" s="45" t="s">
        <v>39</v>
      </c>
      <c r="N45" s="3" t="s">
        <v>40</v>
      </c>
      <c r="O45" s="46" t="s">
        <v>88</v>
      </c>
      <c r="P45" s="45" t="s">
        <v>420</v>
      </c>
      <c r="Q45" s="45" t="s">
        <v>29</v>
      </c>
      <c r="R45" s="23" t="s">
        <v>89</v>
      </c>
      <c r="S45" s="30">
        <v>115590</v>
      </c>
      <c r="T45" s="2" t="s">
        <v>30</v>
      </c>
      <c r="U45" s="31">
        <v>0</v>
      </c>
      <c r="V45" s="31">
        <v>-1</v>
      </c>
      <c r="W45" s="32">
        <v>0</v>
      </c>
      <c r="X45" s="33">
        <v>0</v>
      </c>
    </row>
    <row r="46" spans="1:24" x14ac:dyDescent="0.3">
      <c r="A46" s="51" t="s">
        <v>207</v>
      </c>
      <c r="B46" s="51" t="s">
        <v>221</v>
      </c>
      <c r="C46" s="45" t="s">
        <v>226</v>
      </c>
      <c r="D46" s="51" t="s">
        <v>269</v>
      </c>
      <c r="E46" s="45" t="s">
        <v>319</v>
      </c>
      <c r="F46" s="24" t="str">
        <f>HYPERLINK("https://mapwv.gov/flood/map/?wkid=102100&amp;x=-8807132.54796114&amp;y=4720709.65025042&amp;l=13&amp;v=2","FT")</f>
        <v>FT</v>
      </c>
      <c r="G46" s="29" t="s">
        <v>333</v>
      </c>
      <c r="H46" s="29" t="s">
        <v>24</v>
      </c>
      <c r="I46" s="2" t="s">
        <v>368</v>
      </c>
      <c r="J46" s="22" t="s">
        <v>38</v>
      </c>
      <c r="K46" s="46" t="s">
        <v>155</v>
      </c>
      <c r="L46" s="46" t="s">
        <v>44</v>
      </c>
      <c r="M46" s="45" t="s">
        <v>54</v>
      </c>
      <c r="N46" s="3" t="s">
        <v>34</v>
      </c>
      <c r="O46" s="46" t="s">
        <v>87</v>
      </c>
      <c r="P46" s="45" t="s">
        <v>421</v>
      </c>
      <c r="Q46" s="45" t="s">
        <v>29</v>
      </c>
      <c r="R46" s="23" t="s">
        <v>89</v>
      </c>
      <c r="S46" s="30">
        <v>115500</v>
      </c>
      <c r="T46" s="2" t="s">
        <v>42</v>
      </c>
      <c r="U46" s="31">
        <v>0</v>
      </c>
      <c r="V46" s="31">
        <v>-1</v>
      </c>
      <c r="W46" s="32">
        <v>0</v>
      </c>
      <c r="X46" s="33">
        <v>0</v>
      </c>
    </row>
    <row r="47" spans="1:24" x14ac:dyDescent="0.3">
      <c r="A47" s="51" t="s">
        <v>208</v>
      </c>
      <c r="B47" s="51" t="s">
        <v>222</v>
      </c>
      <c r="C47" s="45" t="s">
        <v>225</v>
      </c>
      <c r="D47" s="51" t="s">
        <v>270</v>
      </c>
      <c r="E47" s="45" t="s">
        <v>320</v>
      </c>
      <c r="F47" s="24" t="str">
        <f>HYPERLINK("https://mapwv.gov/flood/map/?wkid=102100&amp;x=-8811751.057267778&amp;y=4713551.529440358&amp;l=13&amp;v=2","FT")</f>
        <v>FT</v>
      </c>
      <c r="G47" s="29" t="s">
        <v>37</v>
      </c>
      <c r="H47" s="29" t="s">
        <v>24</v>
      </c>
      <c r="I47" s="2" t="s">
        <v>369</v>
      </c>
      <c r="J47" s="22" t="s">
        <v>38</v>
      </c>
      <c r="K47" s="46" t="s">
        <v>130</v>
      </c>
      <c r="L47" s="46" t="s">
        <v>55</v>
      </c>
      <c r="M47" s="45" t="s">
        <v>39</v>
      </c>
      <c r="N47" s="3" t="s">
        <v>40</v>
      </c>
      <c r="O47" s="46" t="s">
        <v>87</v>
      </c>
      <c r="P47" s="45" t="s">
        <v>422</v>
      </c>
      <c r="Q47" s="45" t="s">
        <v>41</v>
      </c>
      <c r="R47" s="23" t="s">
        <v>90</v>
      </c>
      <c r="S47" s="30">
        <v>114700</v>
      </c>
      <c r="T47" s="2" t="s">
        <v>42</v>
      </c>
      <c r="U47" s="31">
        <v>2</v>
      </c>
      <c r="V47" s="31">
        <v>-2</v>
      </c>
      <c r="W47" s="32">
        <v>0.14000000000000001</v>
      </c>
      <c r="X47" s="33">
        <v>16058</v>
      </c>
    </row>
    <row r="48" spans="1:24" x14ac:dyDescent="0.3">
      <c r="A48" s="51" t="s">
        <v>209</v>
      </c>
      <c r="B48" s="51" t="s">
        <v>222</v>
      </c>
      <c r="C48" s="45" t="s">
        <v>229</v>
      </c>
      <c r="D48" s="51" t="s">
        <v>271</v>
      </c>
      <c r="E48" s="45" t="s">
        <v>321</v>
      </c>
      <c r="F48" s="24" t="str">
        <f>HYPERLINK("https://mapwv.gov/flood/map/?wkid=102100&amp;x=-8801907.024269199&amp;y=4745166.191012456&amp;l=13&amp;v=2","FT")</f>
        <v>FT</v>
      </c>
      <c r="G48" s="29" t="s">
        <v>37</v>
      </c>
      <c r="H48" s="29" t="s">
        <v>24</v>
      </c>
      <c r="I48" s="2" t="s">
        <v>370</v>
      </c>
      <c r="J48" s="22" t="s">
        <v>38</v>
      </c>
      <c r="K48" s="46" t="s">
        <v>384</v>
      </c>
      <c r="L48" s="46" t="s">
        <v>55</v>
      </c>
      <c r="M48" s="45" t="s">
        <v>39</v>
      </c>
      <c r="N48" s="3" t="s">
        <v>40</v>
      </c>
      <c r="O48" s="46" t="s">
        <v>87</v>
      </c>
      <c r="P48" s="45" t="s">
        <v>423</v>
      </c>
      <c r="Q48" s="45" t="s">
        <v>41</v>
      </c>
      <c r="R48" s="23" t="s">
        <v>90</v>
      </c>
      <c r="S48" s="30">
        <v>112300</v>
      </c>
      <c r="T48" s="2" t="s">
        <v>42</v>
      </c>
      <c r="U48" s="31">
        <v>0</v>
      </c>
      <c r="V48" s="31">
        <v>-4</v>
      </c>
      <c r="W48" s="32">
        <v>0</v>
      </c>
      <c r="X48" s="33">
        <v>0</v>
      </c>
    </row>
    <row r="49" spans="1:24" x14ac:dyDescent="0.3">
      <c r="A49" s="51" t="s">
        <v>210</v>
      </c>
      <c r="B49" s="51" t="s">
        <v>222</v>
      </c>
      <c r="C49" s="45" t="s">
        <v>229</v>
      </c>
      <c r="D49" s="51" t="s">
        <v>272</v>
      </c>
      <c r="E49" s="45" t="s">
        <v>322</v>
      </c>
      <c r="F49" s="24" t="str">
        <f>HYPERLINK("https://mapwv.gov/flood/map/?wkid=102100&amp;x=-8797044.083743496&amp;y=4753636.663864807&amp;l=13&amp;v=2","FT")</f>
        <v>FT</v>
      </c>
      <c r="G49" s="29" t="s">
        <v>37</v>
      </c>
      <c r="H49" s="29" t="s">
        <v>24</v>
      </c>
      <c r="I49" s="2" t="s">
        <v>371</v>
      </c>
      <c r="J49" s="22" t="s">
        <v>25</v>
      </c>
      <c r="K49" s="46" t="s">
        <v>155</v>
      </c>
      <c r="L49" s="46" t="s">
        <v>26</v>
      </c>
      <c r="M49" s="45" t="s">
        <v>39</v>
      </c>
      <c r="N49" s="3" t="s">
        <v>40</v>
      </c>
      <c r="O49" s="46" t="s">
        <v>87</v>
      </c>
      <c r="P49" s="45" t="s">
        <v>424</v>
      </c>
      <c r="Q49" s="45" t="s">
        <v>41</v>
      </c>
      <c r="R49" s="23" t="s">
        <v>90</v>
      </c>
      <c r="S49" s="30">
        <v>111100</v>
      </c>
      <c r="T49" s="2" t="s">
        <v>30</v>
      </c>
      <c r="U49" s="31">
        <v>0</v>
      </c>
      <c r="V49" s="31">
        <v>-4</v>
      </c>
      <c r="W49" s="32">
        <v>0</v>
      </c>
      <c r="X49" s="33">
        <v>0</v>
      </c>
    </row>
    <row r="50" spans="1:24" x14ac:dyDescent="0.3">
      <c r="A50" s="51" t="s">
        <v>211</v>
      </c>
      <c r="B50" s="51" t="s">
        <v>222</v>
      </c>
      <c r="C50" s="45" t="s">
        <v>232</v>
      </c>
      <c r="D50" s="51" t="s">
        <v>273</v>
      </c>
      <c r="E50" s="45" t="s">
        <v>323</v>
      </c>
      <c r="F50" s="24" t="str">
        <f>HYPERLINK("https://mapwv.gov/flood/map/?wkid=102100&amp;x=-8806526.115108857&amp;y=4731092.659152296&amp;l=13&amp;v=2","FT")</f>
        <v>FT</v>
      </c>
      <c r="G50" s="29" t="s">
        <v>37</v>
      </c>
      <c r="H50" s="29" t="s">
        <v>24</v>
      </c>
      <c r="I50" s="2" t="s">
        <v>372</v>
      </c>
      <c r="J50" s="22" t="s">
        <v>25</v>
      </c>
      <c r="K50" s="46" t="s">
        <v>79</v>
      </c>
      <c r="L50" s="46" t="s">
        <v>55</v>
      </c>
      <c r="M50" s="45" t="s">
        <v>39</v>
      </c>
      <c r="N50" s="3" t="s">
        <v>40</v>
      </c>
      <c r="O50" s="46" t="s">
        <v>88</v>
      </c>
      <c r="P50" s="45" t="s">
        <v>425</v>
      </c>
      <c r="Q50" s="45" t="s">
        <v>50</v>
      </c>
      <c r="R50" s="23" t="s">
        <v>90</v>
      </c>
      <c r="S50" s="30">
        <v>110800</v>
      </c>
      <c r="T50" s="2" t="s">
        <v>42</v>
      </c>
      <c r="U50" s="31">
        <v>0</v>
      </c>
      <c r="V50" s="31">
        <v>-4</v>
      </c>
      <c r="W50" s="32">
        <v>0</v>
      </c>
      <c r="X50" s="33">
        <v>0</v>
      </c>
    </row>
    <row r="51" spans="1:24" x14ac:dyDescent="0.3">
      <c r="A51" s="51" t="s">
        <v>212</v>
      </c>
      <c r="B51" s="51" t="s">
        <v>222</v>
      </c>
      <c r="C51" s="45" t="s">
        <v>226</v>
      </c>
      <c r="D51" s="51" t="s">
        <v>274</v>
      </c>
      <c r="E51" s="45" t="s">
        <v>324</v>
      </c>
      <c r="F51" s="24" t="str">
        <f>HYPERLINK("https://mapwv.gov/flood/map/?wkid=102100&amp;x=-8813028.560523357&amp;y=4720045.863288743&amp;l=13&amp;v=2","FT")</f>
        <v>FT</v>
      </c>
      <c r="G51" s="29" t="s">
        <v>52</v>
      </c>
      <c r="H51" s="29" t="s">
        <v>24</v>
      </c>
      <c r="I51" s="2" t="s">
        <v>373</v>
      </c>
      <c r="J51" s="22" t="s">
        <v>25</v>
      </c>
      <c r="K51" s="46" t="s">
        <v>101</v>
      </c>
      <c r="L51" s="46" t="s">
        <v>55</v>
      </c>
      <c r="M51" s="45" t="s">
        <v>39</v>
      </c>
      <c r="N51" s="3" t="s">
        <v>40</v>
      </c>
      <c r="O51" s="46" t="s">
        <v>87</v>
      </c>
      <c r="P51" s="45" t="s">
        <v>426</v>
      </c>
      <c r="Q51" s="45" t="s">
        <v>50</v>
      </c>
      <c r="R51" s="23" t="s">
        <v>90</v>
      </c>
      <c r="S51" s="30">
        <v>108900</v>
      </c>
      <c r="T51" s="2" t="s">
        <v>42</v>
      </c>
      <c r="U51" s="31">
        <v>0</v>
      </c>
      <c r="V51" s="31">
        <v>-4</v>
      </c>
      <c r="W51" s="32">
        <v>0</v>
      </c>
      <c r="X51" s="33">
        <v>0</v>
      </c>
    </row>
    <row r="52" spans="1:24" x14ac:dyDescent="0.3">
      <c r="A52" s="51" t="s">
        <v>213</v>
      </c>
      <c r="B52" s="51" t="s">
        <v>222</v>
      </c>
      <c r="C52" s="45" t="s">
        <v>227</v>
      </c>
      <c r="D52" s="51" t="s">
        <v>275</v>
      </c>
      <c r="E52" s="45" t="s">
        <v>325</v>
      </c>
      <c r="F52" s="24" t="str">
        <f>HYPERLINK("https://mapwv.gov/flood/map/?wkid=102100&amp;x=-8813940.815846726&amp;y=4699334.8845246425&amp;l=13&amp;v=2","FT")</f>
        <v>FT</v>
      </c>
      <c r="G52" s="29" t="s">
        <v>37</v>
      </c>
      <c r="H52" s="29" t="s">
        <v>24</v>
      </c>
      <c r="I52" s="2" t="s">
        <v>374</v>
      </c>
      <c r="J52" s="22" t="s">
        <v>25</v>
      </c>
      <c r="K52" s="46" t="s">
        <v>123</v>
      </c>
      <c r="L52" s="46" t="s">
        <v>48</v>
      </c>
      <c r="M52" s="45" t="s">
        <v>61</v>
      </c>
      <c r="N52" s="3" t="s">
        <v>34</v>
      </c>
      <c r="O52" s="46" t="s">
        <v>88</v>
      </c>
      <c r="P52" s="45" t="s">
        <v>427</v>
      </c>
      <c r="Q52" s="45" t="s">
        <v>50</v>
      </c>
      <c r="R52" s="23" t="s">
        <v>90</v>
      </c>
      <c r="S52" s="30">
        <v>108504</v>
      </c>
      <c r="T52" s="2" t="s">
        <v>30</v>
      </c>
      <c r="U52" s="31">
        <v>0</v>
      </c>
      <c r="V52" s="31">
        <v>-4</v>
      </c>
      <c r="W52" s="32">
        <v>0</v>
      </c>
      <c r="X52" s="33">
        <v>0</v>
      </c>
    </row>
    <row r="53" spans="1:24" x14ac:dyDescent="0.3">
      <c r="A53" s="51" t="s">
        <v>214</v>
      </c>
      <c r="B53" s="51" t="s">
        <v>222</v>
      </c>
      <c r="C53" s="45" t="s">
        <v>227</v>
      </c>
      <c r="D53" s="51" t="s">
        <v>275</v>
      </c>
      <c r="E53" s="45" t="s">
        <v>326</v>
      </c>
      <c r="F53" s="24" t="str">
        <f>HYPERLINK("https://mapwv.gov/flood/map/?wkid=102100&amp;x=-8813920.393729541&amp;y=4699309.281256722&amp;l=13&amp;v=2","FT")</f>
        <v>FT</v>
      </c>
      <c r="G53" s="29" t="s">
        <v>37</v>
      </c>
      <c r="H53" s="29" t="s">
        <v>24</v>
      </c>
      <c r="I53" s="2" t="s">
        <v>374</v>
      </c>
      <c r="J53" s="22" t="s">
        <v>25</v>
      </c>
      <c r="K53" s="46" t="s">
        <v>123</v>
      </c>
      <c r="L53" s="46" t="s">
        <v>48</v>
      </c>
      <c r="M53" s="45" t="s">
        <v>61</v>
      </c>
      <c r="N53" s="3" t="s">
        <v>34</v>
      </c>
      <c r="O53" s="46" t="s">
        <v>88</v>
      </c>
      <c r="P53" s="45" t="s">
        <v>427</v>
      </c>
      <c r="Q53" s="45" t="s">
        <v>50</v>
      </c>
      <c r="R53" s="23" t="s">
        <v>90</v>
      </c>
      <c r="S53" s="30">
        <v>108504</v>
      </c>
      <c r="T53" s="2" t="s">
        <v>30</v>
      </c>
      <c r="U53" s="31">
        <v>0</v>
      </c>
      <c r="V53" s="31">
        <v>-4</v>
      </c>
      <c r="W53" s="32">
        <v>0</v>
      </c>
      <c r="X53" s="33">
        <v>0</v>
      </c>
    </row>
    <row r="54" spans="1:24" x14ac:dyDescent="0.3">
      <c r="A54" s="51" t="s">
        <v>215</v>
      </c>
      <c r="B54" s="51" t="s">
        <v>222</v>
      </c>
      <c r="C54" s="45" t="s">
        <v>227</v>
      </c>
      <c r="D54" s="51" t="s">
        <v>275</v>
      </c>
      <c r="E54" s="45" t="s">
        <v>327</v>
      </c>
      <c r="F54" s="24" t="str">
        <f>HYPERLINK("https://mapwv.gov/flood/map/?wkid=102100&amp;x=-8813839.345347876&amp;y=4699402.3310981495&amp;l=13&amp;v=2","FT")</f>
        <v>FT</v>
      </c>
      <c r="G54" s="29" t="s">
        <v>37</v>
      </c>
      <c r="H54" s="29" t="s">
        <v>24</v>
      </c>
      <c r="I54" s="2" t="s">
        <v>374</v>
      </c>
      <c r="J54" s="22" t="s">
        <v>25</v>
      </c>
      <c r="K54" s="46" t="s">
        <v>123</v>
      </c>
      <c r="L54" s="46" t="s">
        <v>48</v>
      </c>
      <c r="M54" s="45" t="s">
        <v>61</v>
      </c>
      <c r="N54" s="3" t="s">
        <v>34</v>
      </c>
      <c r="O54" s="46" t="s">
        <v>88</v>
      </c>
      <c r="P54" s="45" t="s">
        <v>427</v>
      </c>
      <c r="Q54" s="45" t="s">
        <v>50</v>
      </c>
      <c r="R54" s="23" t="s">
        <v>90</v>
      </c>
      <c r="S54" s="30">
        <v>108504</v>
      </c>
      <c r="T54" s="2" t="s">
        <v>30</v>
      </c>
      <c r="U54" s="31">
        <v>0</v>
      </c>
      <c r="V54" s="31">
        <v>-4</v>
      </c>
      <c r="W54" s="32">
        <v>0</v>
      </c>
      <c r="X54" s="33">
        <v>0</v>
      </c>
    </row>
    <row r="55" spans="1:24" x14ac:dyDescent="0.3">
      <c r="A55" s="51" t="s">
        <v>216</v>
      </c>
      <c r="B55" s="51" t="s">
        <v>222</v>
      </c>
      <c r="C55" s="45" t="s">
        <v>227</v>
      </c>
      <c r="D55" s="51" t="s">
        <v>275</v>
      </c>
      <c r="E55" s="45" t="s">
        <v>328</v>
      </c>
      <c r="F55" s="24" t="str">
        <f>HYPERLINK("https://mapwv.gov/flood/map/?wkid=102100&amp;x=-8813939.337523887&amp;y=4699257.279676673&amp;l=13&amp;v=2","FT")</f>
        <v>FT</v>
      </c>
      <c r="G55" s="29" t="s">
        <v>37</v>
      </c>
      <c r="H55" s="29" t="s">
        <v>24</v>
      </c>
      <c r="I55" s="2" t="s">
        <v>374</v>
      </c>
      <c r="J55" s="22" t="s">
        <v>25</v>
      </c>
      <c r="K55" s="46" t="s">
        <v>123</v>
      </c>
      <c r="L55" s="46" t="s">
        <v>48</v>
      </c>
      <c r="M55" s="45" t="s">
        <v>61</v>
      </c>
      <c r="N55" s="3" t="s">
        <v>34</v>
      </c>
      <c r="O55" s="46" t="s">
        <v>88</v>
      </c>
      <c r="P55" s="45" t="s">
        <v>427</v>
      </c>
      <c r="Q55" s="45" t="s">
        <v>50</v>
      </c>
      <c r="R55" s="23" t="s">
        <v>90</v>
      </c>
      <c r="S55" s="30">
        <v>108504</v>
      </c>
      <c r="T55" s="2" t="s">
        <v>30</v>
      </c>
      <c r="U55" s="31">
        <v>0</v>
      </c>
      <c r="V55" s="31">
        <v>-4</v>
      </c>
      <c r="W55" s="32">
        <v>0</v>
      </c>
      <c r="X55" s="33">
        <v>0</v>
      </c>
    </row>
    <row r="56" spans="1:24" x14ac:dyDescent="0.3">
      <c r="A56" s="51" t="s">
        <v>217</v>
      </c>
      <c r="B56" s="51" t="s">
        <v>222</v>
      </c>
      <c r="C56" s="45" t="s">
        <v>229</v>
      </c>
      <c r="D56" s="51" t="s">
        <v>276</v>
      </c>
      <c r="E56" s="45" t="s">
        <v>329</v>
      </c>
      <c r="F56" s="24" t="str">
        <f>HYPERLINK("https://mapwv.gov/flood/map/?wkid=102100&amp;x=-8798599.529392371&amp;y=4749421.505501246&amp;l=13&amp;v=2","FT")</f>
        <v>FT</v>
      </c>
      <c r="G56" s="29" t="s">
        <v>37</v>
      </c>
      <c r="H56" s="29" t="s">
        <v>24</v>
      </c>
      <c r="I56" s="2" t="s">
        <v>375</v>
      </c>
      <c r="J56" s="22" t="s">
        <v>25</v>
      </c>
      <c r="K56" s="46" t="s">
        <v>140</v>
      </c>
      <c r="L56" s="46" t="s">
        <v>47</v>
      </c>
      <c r="M56" s="45" t="s">
        <v>39</v>
      </c>
      <c r="N56" s="3" t="s">
        <v>40</v>
      </c>
      <c r="O56" s="46" t="s">
        <v>88</v>
      </c>
      <c r="P56" s="45" t="s">
        <v>428</v>
      </c>
      <c r="Q56" s="45" t="s">
        <v>41</v>
      </c>
      <c r="R56" s="23" t="s">
        <v>90</v>
      </c>
      <c r="S56" s="30">
        <v>108500</v>
      </c>
      <c r="T56" s="2" t="s">
        <v>42</v>
      </c>
      <c r="U56" s="31">
        <v>0</v>
      </c>
      <c r="V56" s="31">
        <v>-4</v>
      </c>
      <c r="W56" s="32">
        <v>0</v>
      </c>
      <c r="X56" s="33">
        <v>0</v>
      </c>
    </row>
    <row r="57" spans="1:24" x14ac:dyDescent="0.3">
      <c r="A57" s="51" t="s">
        <v>218</v>
      </c>
      <c r="B57" s="51" t="s">
        <v>222</v>
      </c>
      <c r="C57" s="45" t="s">
        <v>225</v>
      </c>
      <c r="D57" s="51" t="s">
        <v>277</v>
      </c>
      <c r="E57" s="45" t="s">
        <v>330</v>
      </c>
      <c r="F57" s="24" t="str">
        <f>HYPERLINK("https://mapwv.gov/flood/map/?wkid=102100&amp;x=-8817484.978743967&amp;y=4704409.096296998&amp;l=13&amp;v=2","FT")</f>
        <v>FT</v>
      </c>
      <c r="G57" s="29" t="s">
        <v>37</v>
      </c>
      <c r="H57" s="29" t="s">
        <v>24</v>
      </c>
      <c r="I57" s="2" t="s">
        <v>376</v>
      </c>
      <c r="J57" s="22" t="s">
        <v>38</v>
      </c>
      <c r="K57" s="46" t="s">
        <v>122</v>
      </c>
      <c r="L57" s="46" t="s">
        <v>26</v>
      </c>
      <c r="M57" s="45" t="s">
        <v>39</v>
      </c>
      <c r="N57" s="3" t="s">
        <v>40</v>
      </c>
      <c r="O57" s="46" t="s">
        <v>87</v>
      </c>
      <c r="P57" s="45" t="s">
        <v>429</v>
      </c>
      <c r="Q57" s="45" t="s">
        <v>41</v>
      </c>
      <c r="R57" s="23" t="s">
        <v>90</v>
      </c>
      <c r="S57" s="30">
        <v>107900</v>
      </c>
      <c r="T57" s="2" t="s">
        <v>42</v>
      </c>
      <c r="U57" s="31">
        <v>0</v>
      </c>
      <c r="V57" s="31">
        <v>-4</v>
      </c>
      <c r="W57" s="32">
        <v>0</v>
      </c>
      <c r="X57" s="33">
        <v>0</v>
      </c>
    </row>
    <row r="58" spans="1:24" x14ac:dyDescent="0.3">
      <c r="A58" s="51" t="s">
        <v>219</v>
      </c>
      <c r="B58" s="51" t="s">
        <v>222</v>
      </c>
      <c r="C58" s="45" t="s">
        <v>227</v>
      </c>
      <c r="D58" s="51" t="s">
        <v>278</v>
      </c>
      <c r="E58" s="45" t="s">
        <v>331</v>
      </c>
      <c r="F58" s="24" t="str">
        <f>HYPERLINK("https://mapwv.gov/flood/map/?wkid=102100&amp;x=-8813569.335692821&amp;y=4699477.782261082&amp;l=13&amp;v=2","FT")</f>
        <v>FT</v>
      </c>
      <c r="G58" s="29" t="s">
        <v>37</v>
      </c>
      <c r="H58" s="29" t="s">
        <v>24</v>
      </c>
      <c r="I58" s="2" t="s">
        <v>377</v>
      </c>
      <c r="J58" s="22" t="s">
        <v>38</v>
      </c>
      <c r="K58" s="46" t="s">
        <v>120</v>
      </c>
      <c r="L58" s="46" t="s">
        <v>26</v>
      </c>
      <c r="M58" s="45" t="s">
        <v>39</v>
      </c>
      <c r="N58" s="3" t="s">
        <v>40</v>
      </c>
      <c r="O58" s="46" t="s">
        <v>87</v>
      </c>
      <c r="P58" s="45" t="s">
        <v>430</v>
      </c>
      <c r="Q58" s="45" t="s">
        <v>41</v>
      </c>
      <c r="R58" s="23" t="s">
        <v>90</v>
      </c>
      <c r="S58" s="30">
        <v>105600</v>
      </c>
      <c r="T58" s="2" t="s">
        <v>42</v>
      </c>
      <c r="U58" s="31">
        <v>0</v>
      </c>
      <c r="V58" s="31">
        <v>-4</v>
      </c>
      <c r="W58" s="32">
        <v>0</v>
      </c>
      <c r="X58" s="33">
        <v>0</v>
      </c>
    </row>
    <row r="59" spans="1:24" x14ac:dyDescent="0.3">
      <c r="A59" s="51" t="s">
        <v>220</v>
      </c>
      <c r="B59" s="51" t="s">
        <v>222</v>
      </c>
      <c r="C59" s="45" t="s">
        <v>224</v>
      </c>
      <c r="D59" s="51" t="s">
        <v>279</v>
      </c>
      <c r="E59" s="45" t="s">
        <v>332</v>
      </c>
      <c r="F59" s="24" t="str">
        <f>HYPERLINK("https://mapwv.gov/flood/map/?wkid=102100&amp;x=-8826133.028084027&amp;y=4716329.475644297&amp;l=13&amp;v=2","FT")</f>
        <v>FT</v>
      </c>
      <c r="G59" s="29" t="s">
        <v>37</v>
      </c>
      <c r="H59" s="29" t="s">
        <v>24</v>
      </c>
      <c r="I59" s="2" t="s">
        <v>378</v>
      </c>
      <c r="J59" s="22" t="s">
        <v>25</v>
      </c>
      <c r="K59" s="46" t="s">
        <v>111</v>
      </c>
      <c r="L59" s="46" t="s">
        <v>26</v>
      </c>
      <c r="M59" s="45" t="s">
        <v>39</v>
      </c>
      <c r="N59" s="3" t="s">
        <v>40</v>
      </c>
      <c r="O59" s="46" t="s">
        <v>87</v>
      </c>
      <c r="P59" s="45" t="s">
        <v>431</v>
      </c>
      <c r="Q59" s="45" t="s">
        <v>29</v>
      </c>
      <c r="R59" s="23" t="s">
        <v>89</v>
      </c>
      <c r="S59" s="30">
        <v>105400</v>
      </c>
      <c r="T59" s="2" t="s">
        <v>42</v>
      </c>
      <c r="U59" s="31">
        <v>0</v>
      </c>
      <c r="V59" s="31">
        <v>-1</v>
      </c>
      <c r="W59" s="32">
        <v>0</v>
      </c>
      <c r="X59" s="33">
        <v>0</v>
      </c>
    </row>
  </sheetData>
  <conditionalFormatting sqref="A7:A59">
    <cfRule type="duplicateValues" dxfId="13" priority="1"/>
    <cfRule type="duplicateValues" dxfId="12" priority="2"/>
  </conditionalFormatting>
  <hyperlinks>
    <hyperlink ref="J3" r:id="rId1" xr:uid="{0AC23D76-C6CF-4670-A5CA-B616D0CBE426}"/>
    <hyperlink ref="M3" r:id="rId2" xr:uid="{6FE9C463-5D8F-4476-8A0C-54BE08A50EE7}"/>
    <hyperlink ref="Q3" r:id="rId3" xr:uid="{A72EB935-2CE6-4933-BC8C-7D2F7B7522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16B0E-63BD-408C-B0BB-FDE3DBC1BD7C}">
  <dimension ref="A1:X50"/>
  <sheetViews>
    <sheetView workbookViewId="0">
      <pane ySplit="6" topLeftCell="A7" activePane="bottomLeft" state="frozen"/>
      <selection pane="bottomLeft" activeCell="B4" sqref="B4"/>
    </sheetView>
  </sheetViews>
  <sheetFormatPr defaultRowHeight="14.4" x14ac:dyDescent="0.3"/>
  <cols>
    <col min="1" max="1" width="33.88671875" bestFit="1" customWidth="1"/>
    <col min="2" max="2" width="10.77734375" customWidth="1"/>
    <col min="7" max="7" width="11.33203125" customWidth="1"/>
    <col min="13" max="13" width="10.5546875" customWidth="1"/>
    <col min="14" max="14" width="11.21875" customWidth="1"/>
    <col min="17" max="17" width="11" customWidth="1"/>
    <col min="19" max="19" width="21.77734375" bestFit="1" customWidth="1"/>
    <col min="24" max="24" width="9.5546875" bestFit="1" customWidth="1"/>
  </cols>
  <sheetData>
    <row r="1" spans="1:24" ht="14.25" customHeight="1" x14ac:dyDescent="0.3">
      <c r="A1" s="4" t="s">
        <v>64</v>
      </c>
      <c r="B1" s="4"/>
      <c r="C1" s="4"/>
      <c r="D1" s="4"/>
      <c r="F1" s="17" t="s">
        <v>65</v>
      </c>
      <c r="G1" s="6"/>
      <c r="H1" s="6"/>
      <c r="J1" s="6"/>
      <c r="K1" s="6"/>
      <c r="L1" s="6"/>
      <c r="N1" s="5" t="s">
        <v>66</v>
      </c>
      <c r="O1" s="6"/>
      <c r="P1" s="6"/>
      <c r="R1" s="6"/>
      <c r="S1" s="7" t="s">
        <v>67</v>
      </c>
      <c r="U1" s="8"/>
      <c r="V1" s="8"/>
      <c r="W1" s="9"/>
      <c r="X1" s="10"/>
    </row>
    <row r="2" spans="1:24" x14ac:dyDescent="0.3">
      <c r="A2" s="11">
        <v>44580</v>
      </c>
      <c r="B2" s="12" t="s">
        <v>68</v>
      </c>
      <c r="F2" s="6"/>
      <c r="G2" s="6"/>
      <c r="H2" s="6"/>
      <c r="J2" s="6"/>
      <c r="K2" s="6"/>
      <c r="L2" s="6"/>
      <c r="N2" s="13" t="s">
        <v>40</v>
      </c>
      <c r="O2" s="6"/>
      <c r="P2" s="6"/>
      <c r="R2" s="6"/>
      <c r="S2" s="39"/>
      <c r="U2" s="8"/>
      <c r="V2" s="8"/>
      <c r="W2" s="9"/>
      <c r="X2" s="10"/>
    </row>
    <row r="3" spans="1:24" x14ac:dyDescent="0.3">
      <c r="A3" t="s">
        <v>70</v>
      </c>
      <c r="B3" s="40" t="s">
        <v>114</v>
      </c>
      <c r="F3" s="6"/>
      <c r="G3" s="6"/>
      <c r="H3" s="6"/>
      <c r="J3" s="16" t="s">
        <v>69</v>
      </c>
      <c r="K3" s="6"/>
      <c r="L3" s="6"/>
      <c r="M3" s="14" t="s">
        <v>69</v>
      </c>
      <c r="N3" s="5"/>
      <c r="O3" s="6"/>
      <c r="P3" s="6"/>
      <c r="Q3" s="14" t="s">
        <v>69</v>
      </c>
      <c r="R3" s="15"/>
      <c r="S3" s="39"/>
      <c r="U3" s="8"/>
      <c r="V3" s="8"/>
      <c r="W3" s="9"/>
      <c r="X3" s="10"/>
    </row>
    <row r="4" spans="1:24" x14ac:dyDescent="0.3">
      <c r="F4" s="6"/>
      <c r="G4" s="6"/>
      <c r="H4" s="6"/>
      <c r="J4" s="6"/>
      <c r="K4" s="6"/>
      <c r="L4" s="6"/>
      <c r="N4" s="5"/>
      <c r="O4" s="6"/>
      <c r="P4" s="6"/>
      <c r="R4" s="6"/>
      <c r="S4" s="39"/>
      <c r="U4" s="8"/>
      <c r="V4" s="8"/>
      <c r="W4" s="9"/>
      <c r="X4" s="10"/>
    </row>
    <row r="5" spans="1:24" x14ac:dyDescent="0.3">
      <c r="A5" s="1" t="s">
        <v>432</v>
      </c>
      <c r="F5" s="6"/>
      <c r="G5" s="6"/>
      <c r="H5" s="6"/>
      <c r="J5" s="6"/>
      <c r="K5" s="6"/>
      <c r="L5" s="6"/>
      <c r="O5" s="6"/>
      <c r="P5" s="6"/>
      <c r="R5" s="6"/>
      <c r="S5" s="34" t="s">
        <v>109</v>
      </c>
      <c r="U5" s="6"/>
      <c r="V5" s="6"/>
      <c r="W5" s="9"/>
      <c r="X5" s="10"/>
    </row>
    <row r="6" spans="1:24" ht="43.2" x14ac:dyDescent="0.3">
      <c r="A6" s="25" t="s">
        <v>0</v>
      </c>
      <c r="B6" s="18" t="s">
        <v>1</v>
      </c>
      <c r="C6" s="18" t="s">
        <v>2</v>
      </c>
      <c r="D6" s="26" t="s">
        <v>3</v>
      </c>
      <c r="E6" s="26" t="s">
        <v>4</v>
      </c>
      <c r="F6" s="18" t="s">
        <v>5</v>
      </c>
      <c r="G6" s="18" t="s">
        <v>6</v>
      </c>
      <c r="H6" s="25" t="s">
        <v>7</v>
      </c>
      <c r="I6" s="18" t="s">
        <v>8</v>
      </c>
      <c r="J6" s="25" t="s">
        <v>9</v>
      </c>
      <c r="K6" s="26" t="s">
        <v>10</v>
      </c>
      <c r="L6" s="18" t="s">
        <v>11</v>
      </c>
      <c r="M6" s="26" t="s">
        <v>12</v>
      </c>
      <c r="N6" s="19" t="s">
        <v>13</v>
      </c>
      <c r="O6" s="26" t="s">
        <v>14</v>
      </c>
      <c r="P6" s="26" t="s">
        <v>15</v>
      </c>
      <c r="Q6" s="26" t="s">
        <v>16</v>
      </c>
      <c r="R6" s="26" t="s">
        <v>17</v>
      </c>
      <c r="S6" s="20" t="s">
        <v>18</v>
      </c>
      <c r="T6" s="18" t="s">
        <v>19</v>
      </c>
      <c r="U6" s="27" t="s">
        <v>20</v>
      </c>
      <c r="V6" s="27" t="s">
        <v>21</v>
      </c>
      <c r="W6" s="28" t="s">
        <v>22</v>
      </c>
      <c r="X6" s="21" t="s">
        <v>23</v>
      </c>
    </row>
    <row r="7" spans="1:24" x14ac:dyDescent="0.3">
      <c r="A7" s="51" t="s">
        <v>661</v>
      </c>
      <c r="B7" s="45" t="s">
        <v>476</v>
      </c>
      <c r="C7" s="45" t="s">
        <v>487</v>
      </c>
      <c r="D7" s="45" t="s">
        <v>662</v>
      </c>
      <c r="E7" s="45" t="s">
        <v>663</v>
      </c>
      <c r="F7" s="24" t="str">
        <f>HYPERLINK("https://mapwv.gov/flood/map/?wkid=102100&amp;x=-8756076.167077057&amp;y=4767072.503009744&amp;l=13&amp;v=2","FT")</f>
        <v>FT</v>
      </c>
      <c r="G7" s="29" t="s">
        <v>31</v>
      </c>
      <c r="H7" s="29" t="s">
        <v>138</v>
      </c>
      <c r="I7" s="45" t="s">
        <v>664</v>
      </c>
      <c r="J7" s="22" t="s">
        <v>25</v>
      </c>
      <c r="K7" s="46" t="s">
        <v>118</v>
      </c>
      <c r="L7" s="46" t="s">
        <v>36</v>
      </c>
      <c r="M7" s="45" t="s">
        <v>27</v>
      </c>
      <c r="N7" s="3" t="s">
        <v>84</v>
      </c>
      <c r="O7" s="46" t="s">
        <v>87</v>
      </c>
      <c r="P7" s="47">
        <v>7000</v>
      </c>
      <c r="Q7" s="45" t="s">
        <v>29</v>
      </c>
      <c r="R7" s="23" t="s">
        <v>89</v>
      </c>
      <c r="S7" s="30">
        <v>3100000</v>
      </c>
      <c r="T7" s="45" t="s">
        <v>28</v>
      </c>
      <c r="U7" s="31">
        <v>4.8237914999999996</v>
      </c>
      <c r="V7" s="31">
        <v>3.82379150390625</v>
      </c>
      <c r="W7" s="32">
        <v>0.13823791503906199</v>
      </c>
      <c r="X7" s="33">
        <v>428537.53662109218</v>
      </c>
    </row>
    <row r="8" spans="1:24" x14ac:dyDescent="0.3">
      <c r="A8" s="51" t="s">
        <v>433</v>
      </c>
      <c r="B8" s="45" t="s">
        <v>476</v>
      </c>
      <c r="C8" s="45" t="s">
        <v>479</v>
      </c>
      <c r="D8" s="45" t="s">
        <v>491</v>
      </c>
      <c r="E8" s="45" t="s">
        <v>530</v>
      </c>
      <c r="F8" s="24" t="str">
        <f>HYPERLINK("https://mapwv.gov/flood/map/?wkid=102100&amp;x=-8756004.260697255&amp;y=4765575.247671338&amp;l=13&amp;v=2","FT")</f>
        <v>FT</v>
      </c>
      <c r="G8" s="29" t="s">
        <v>31</v>
      </c>
      <c r="H8" s="29" t="s">
        <v>138</v>
      </c>
      <c r="I8" s="45" t="s">
        <v>573</v>
      </c>
      <c r="J8" s="22" t="s">
        <v>25</v>
      </c>
      <c r="K8" s="46" t="s">
        <v>140</v>
      </c>
      <c r="L8" s="46" t="s">
        <v>44</v>
      </c>
      <c r="M8" s="45" t="s">
        <v>49</v>
      </c>
      <c r="N8" s="3" t="s">
        <v>34</v>
      </c>
      <c r="O8" s="46" t="s">
        <v>87</v>
      </c>
      <c r="P8" s="45" t="s">
        <v>621</v>
      </c>
      <c r="Q8" s="45" t="s">
        <v>29</v>
      </c>
      <c r="R8" s="23" t="s">
        <v>89</v>
      </c>
      <c r="S8" s="30">
        <v>1409900</v>
      </c>
      <c r="T8" s="45" t="s">
        <v>42</v>
      </c>
      <c r="U8" s="31">
        <v>0.29187012000000001</v>
      </c>
      <c r="V8" s="31">
        <v>-0.7081298828125</v>
      </c>
      <c r="W8" s="32">
        <v>2.918701171875E-3</v>
      </c>
      <c r="X8" s="33">
        <v>4115.0767822265598</v>
      </c>
    </row>
    <row r="9" spans="1:24" x14ac:dyDescent="0.3">
      <c r="A9" s="51" t="s">
        <v>434</v>
      </c>
      <c r="B9" s="45" t="s">
        <v>476</v>
      </c>
      <c r="C9" s="45" t="s">
        <v>480</v>
      </c>
      <c r="D9" s="45" t="s">
        <v>492</v>
      </c>
      <c r="E9" s="45" t="s">
        <v>531</v>
      </c>
      <c r="F9" s="24" t="str">
        <f>HYPERLINK("https://mapwv.gov/flood/map/?wkid=102100&amp;x=-8736340.997016603&amp;y=4740647.768148393&amp;l=13&amp;v=2","FT")</f>
        <v>FT</v>
      </c>
      <c r="G9" s="29" t="s">
        <v>37</v>
      </c>
      <c r="H9" s="29" t="s">
        <v>24</v>
      </c>
      <c r="I9" s="45" t="s">
        <v>574</v>
      </c>
      <c r="J9" s="22" t="s">
        <v>25</v>
      </c>
      <c r="K9" s="46" t="s">
        <v>79</v>
      </c>
      <c r="L9" s="46" t="s">
        <v>51</v>
      </c>
      <c r="M9" s="45" t="s">
        <v>60</v>
      </c>
      <c r="N9" s="3" t="s">
        <v>40</v>
      </c>
      <c r="O9" s="46" t="s">
        <v>148</v>
      </c>
      <c r="P9" s="45" t="s">
        <v>622</v>
      </c>
      <c r="Q9" s="45" t="s">
        <v>41</v>
      </c>
      <c r="R9" s="23" t="s">
        <v>90</v>
      </c>
      <c r="S9" s="30">
        <v>1295400</v>
      </c>
      <c r="T9" s="45" t="s">
        <v>30</v>
      </c>
      <c r="U9" s="31">
        <v>0</v>
      </c>
      <c r="V9" s="31">
        <v>-4</v>
      </c>
      <c r="W9" s="32">
        <v>0</v>
      </c>
      <c r="X9" s="33">
        <v>0</v>
      </c>
    </row>
    <row r="10" spans="1:24" x14ac:dyDescent="0.3">
      <c r="A10" s="51" t="s">
        <v>435</v>
      </c>
      <c r="B10" s="45" t="s">
        <v>476</v>
      </c>
      <c r="C10" s="45" t="s">
        <v>480</v>
      </c>
      <c r="D10" s="45" t="s">
        <v>492</v>
      </c>
      <c r="E10" s="45" t="s">
        <v>532</v>
      </c>
      <c r="F10" s="24" t="str">
        <f>HYPERLINK("https://mapwv.gov/flood/map/?wkid=102100&amp;x=-8736179.78179233&amp;y=4740629.622154356&amp;l=13&amp;v=2","FT")</f>
        <v>FT</v>
      </c>
      <c r="G10" s="29" t="s">
        <v>37</v>
      </c>
      <c r="H10" s="29" t="s">
        <v>24</v>
      </c>
      <c r="I10" s="45" t="s">
        <v>574</v>
      </c>
      <c r="J10" s="22" t="s">
        <v>25</v>
      </c>
      <c r="K10" s="46" t="s">
        <v>79</v>
      </c>
      <c r="L10" s="46" t="s">
        <v>51</v>
      </c>
      <c r="M10" s="45" t="s">
        <v>60</v>
      </c>
      <c r="N10" s="3" t="s">
        <v>40</v>
      </c>
      <c r="O10" s="46" t="s">
        <v>148</v>
      </c>
      <c r="P10" s="45" t="s">
        <v>623</v>
      </c>
      <c r="Q10" s="45" t="s">
        <v>41</v>
      </c>
      <c r="R10" s="23" t="s">
        <v>90</v>
      </c>
      <c r="S10" s="30">
        <v>824800</v>
      </c>
      <c r="T10" s="45" t="s">
        <v>30</v>
      </c>
      <c r="U10" s="31">
        <v>0.1</v>
      </c>
      <c r="V10" s="31">
        <v>-3.8999999985098799</v>
      </c>
      <c r="W10" s="32">
        <v>0</v>
      </c>
      <c r="X10" s="33">
        <v>0</v>
      </c>
    </row>
    <row r="11" spans="1:24" x14ac:dyDescent="0.3">
      <c r="A11" s="51" t="s">
        <v>436</v>
      </c>
      <c r="B11" s="45" t="s">
        <v>477</v>
      </c>
      <c r="C11" s="45" t="s">
        <v>115</v>
      </c>
      <c r="D11" s="45" t="s">
        <v>493</v>
      </c>
      <c r="E11" s="45" t="s">
        <v>533</v>
      </c>
      <c r="F11" s="24" t="str">
        <f>HYPERLINK("https://mapwv.gov/flood/map/?wkid=102100&amp;x=-8766999.080973169&amp;y=4772259.242182075&amp;l=13&amp;v=2","FT")</f>
        <v>FT</v>
      </c>
      <c r="G11" s="29" t="s">
        <v>31</v>
      </c>
      <c r="H11" s="29" t="s">
        <v>24</v>
      </c>
      <c r="I11" s="45" t="s">
        <v>575</v>
      </c>
      <c r="J11" s="22" t="s">
        <v>25</v>
      </c>
      <c r="K11" s="46" t="s">
        <v>106</v>
      </c>
      <c r="L11" s="46" t="s">
        <v>55</v>
      </c>
      <c r="M11" s="45" t="s">
        <v>27</v>
      </c>
      <c r="N11" s="3" t="s">
        <v>84</v>
      </c>
      <c r="O11" s="46" t="s">
        <v>87</v>
      </c>
      <c r="P11" s="45" t="s">
        <v>624</v>
      </c>
      <c r="Q11" s="45" t="s">
        <v>29</v>
      </c>
      <c r="R11" s="23" t="s">
        <v>89</v>
      </c>
      <c r="S11" s="30">
        <v>776900</v>
      </c>
      <c r="T11" s="45" t="s">
        <v>30</v>
      </c>
      <c r="U11" s="31">
        <v>0</v>
      </c>
      <c r="V11" s="31">
        <v>-1</v>
      </c>
      <c r="W11" s="32">
        <v>0</v>
      </c>
      <c r="X11" s="33">
        <v>0</v>
      </c>
    </row>
    <row r="12" spans="1:24" x14ac:dyDescent="0.3">
      <c r="A12" s="51" t="s">
        <v>437</v>
      </c>
      <c r="B12" s="45" t="s">
        <v>476</v>
      </c>
      <c r="C12" s="45" t="s">
        <v>481</v>
      </c>
      <c r="D12" s="45" t="s">
        <v>494</v>
      </c>
      <c r="E12" s="45" t="s">
        <v>534</v>
      </c>
      <c r="F12" s="24" t="str">
        <f>HYPERLINK("https://mapwv.gov/flood/map/?wkid=102100&amp;x=-8749036.754955513&amp;y=4751404.777003386&amp;l=13&amp;v=2","FT")</f>
        <v>FT</v>
      </c>
      <c r="G12" s="29" t="s">
        <v>37</v>
      </c>
      <c r="H12" s="29" t="s">
        <v>24</v>
      </c>
      <c r="I12" s="45" t="s">
        <v>576</v>
      </c>
      <c r="J12" s="22" t="s">
        <v>38</v>
      </c>
      <c r="K12" s="46" t="s">
        <v>78</v>
      </c>
      <c r="L12" s="46" t="s">
        <v>26</v>
      </c>
      <c r="M12" s="45" t="s">
        <v>45</v>
      </c>
      <c r="N12" s="3" t="s">
        <v>34</v>
      </c>
      <c r="O12" s="46" t="s">
        <v>87</v>
      </c>
      <c r="P12" s="45" t="s">
        <v>625</v>
      </c>
      <c r="Q12" s="45" t="s">
        <v>41</v>
      </c>
      <c r="R12" s="23" t="s">
        <v>90</v>
      </c>
      <c r="S12" s="30">
        <v>640005</v>
      </c>
      <c r="T12" s="45" t="s">
        <v>91</v>
      </c>
      <c r="U12" s="31">
        <v>2.1000366000000001</v>
      </c>
      <c r="V12" s="31">
        <v>-1.89996337890625</v>
      </c>
      <c r="W12" s="32">
        <v>0</v>
      </c>
      <c r="X12" s="33">
        <v>0</v>
      </c>
    </row>
    <row r="13" spans="1:24" x14ac:dyDescent="0.3">
      <c r="A13" s="51" t="s">
        <v>438</v>
      </c>
      <c r="B13" s="45" t="s">
        <v>476</v>
      </c>
      <c r="C13" s="45" t="s">
        <v>482</v>
      </c>
      <c r="D13" s="45" t="s">
        <v>495</v>
      </c>
      <c r="E13" s="45" t="s">
        <v>535</v>
      </c>
      <c r="F13" s="24" t="str">
        <f>HYPERLINK("https://mapwv.gov/flood/map/?wkid=102100&amp;x=-8752774.470721187&amp;y=4798582.29779751&amp;l=13&amp;v=2","FT")</f>
        <v>FT</v>
      </c>
      <c r="G13" s="29" t="s">
        <v>37</v>
      </c>
      <c r="H13" s="29" t="s">
        <v>24</v>
      </c>
      <c r="I13" s="45" t="s">
        <v>577</v>
      </c>
      <c r="J13" s="22" t="s">
        <v>25</v>
      </c>
      <c r="K13" s="46" t="s">
        <v>99</v>
      </c>
      <c r="L13" s="46" t="s">
        <v>36</v>
      </c>
      <c r="M13" s="45" t="s">
        <v>61</v>
      </c>
      <c r="N13" s="3" t="s">
        <v>34</v>
      </c>
      <c r="O13" s="46" t="s">
        <v>87</v>
      </c>
      <c r="P13" s="45" t="s">
        <v>626</v>
      </c>
      <c r="Q13" s="45" t="s">
        <v>29</v>
      </c>
      <c r="R13" s="23" t="s">
        <v>89</v>
      </c>
      <c r="S13" s="30">
        <v>561654</v>
      </c>
      <c r="T13" s="45" t="s">
        <v>30</v>
      </c>
      <c r="U13" s="31">
        <v>2.5494995</v>
      </c>
      <c r="V13" s="31">
        <v>1.54949951171875</v>
      </c>
      <c r="W13" s="32">
        <v>6.6484985351562498E-2</v>
      </c>
      <c r="X13" s="33">
        <v>37341.557962646402</v>
      </c>
    </row>
    <row r="14" spans="1:24" x14ac:dyDescent="0.3">
      <c r="A14" s="51" t="s">
        <v>439</v>
      </c>
      <c r="B14" s="45" t="s">
        <v>476</v>
      </c>
      <c r="C14" s="45" t="s">
        <v>226</v>
      </c>
      <c r="D14" s="45" t="s">
        <v>496</v>
      </c>
      <c r="E14" s="45" t="s">
        <v>536</v>
      </c>
      <c r="F14" s="24" t="str">
        <f>HYPERLINK("https://mapwv.gov/flood/map/?wkid=102100&amp;x=-8765039.364789862&amp;y=4781136.12532794&amp;l=13&amp;v=2","FT")</f>
        <v>FT</v>
      </c>
      <c r="G14" s="29" t="s">
        <v>31</v>
      </c>
      <c r="H14" s="29" t="s">
        <v>138</v>
      </c>
      <c r="I14" s="45" t="s">
        <v>578</v>
      </c>
      <c r="J14" s="22" t="s">
        <v>38</v>
      </c>
      <c r="K14" s="46" t="s">
        <v>611</v>
      </c>
      <c r="L14" s="46" t="s">
        <v>48</v>
      </c>
      <c r="M14" s="45" t="s">
        <v>39</v>
      </c>
      <c r="N14" s="3" t="s">
        <v>40</v>
      </c>
      <c r="O14" s="46" t="s">
        <v>88</v>
      </c>
      <c r="P14" s="45" t="s">
        <v>627</v>
      </c>
      <c r="Q14" s="45" t="s">
        <v>41</v>
      </c>
      <c r="R14" s="23" t="s">
        <v>90</v>
      </c>
      <c r="S14" s="30">
        <v>544300</v>
      </c>
      <c r="T14" s="45" t="s">
        <v>42</v>
      </c>
      <c r="U14" s="31">
        <v>0</v>
      </c>
      <c r="V14" s="31">
        <v>-4</v>
      </c>
      <c r="W14" s="32">
        <v>0</v>
      </c>
      <c r="X14" s="33">
        <v>0</v>
      </c>
    </row>
    <row r="15" spans="1:24" x14ac:dyDescent="0.3">
      <c r="A15" s="51" t="s">
        <v>440</v>
      </c>
      <c r="B15" s="45" t="s">
        <v>478</v>
      </c>
      <c r="C15" s="45" t="s">
        <v>483</v>
      </c>
      <c r="D15" s="45" t="s">
        <v>497</v>
      </c>
      <c r="E15" s="45" t="s">
        <v>537</v>
      </c>
      <c r="F15" s="24" t="str">
        <f>HYPERLINK("https://mapwv.gov/flood/map/?wkid=102100&amp;x=-8730805.24928092&amp;y=4764205.541804498&amp;l=13&amp;v=2","FT")</f>
        <v>FT</v>
      </c>
      <c r="G15" s="29" t="s">
        <v>31</v>
      </c>
      <c r="H15" s="29" t="s">
        <v>24</v>
      </c>
      <c r="I15" s="45" t="s">
        <v>579</v>
      </c>
      <c r="J15" s="22" t="s">
        <v>38</v>
      </c>
      <c r="K15" s="46" t="s">
        <v>612</v>
      </c>
      <c r="L15" s="46" t="s">
        <v>55</v>
      </c>
      <c r="M15" s="45" t="s">
        <v>54</v>
      </c>
      <c r="N15" s="3" t="s">
        <v>34</v>
      </c>
      <c r="O15" s="46" t="s">
        <v>88</v>
      </c>
      <c r="P15" s="45" t="s">
        <v>628</v>
      </c>
      <c r="Q15" s="45" t="s">
        <v>29</v>
      </c>
      <c r="R15" s="23" t="s">
        <v>89</v>
      </c>
      <c r="S15" s="30">
        <v>438400</v>
      </c>
      <c r="T15" s="45" t="s">
        <v>42</v>
      </c>
      <c r="U15" s="31">
        <v>0</v>
      </c>
      <c r="V15" s="31">
        <v>-1</v>
      </c>
      <c r="W15" s="32">
        <v>0</v>
      </c>
      <c r="X15" s="33">
        <v>0</v>
      </c>
    </row>
    <row r="16" spans="1:24" x14ac:dyDescent="0.3">
      <c r="A16" s="51" t="s">
        <v>441</v>
      </c>
      <c r="B16" s="45" t="s">
        <v>476</v>
      </c>
      <c r="C16" s="45" t="s">
        <v>484</v>
      </c>
      <c r="D16" s="45" t="s">
        <v>498</v>
      </c>
      <c r="E16" s="45" t="s">
        <v>538</v>
      </c>
      <c r="F16" s="24" t="str">
        <f>HYPERLINK("https://mapwv.gov/flood/map/?wkid=102100&amp;x=-8773565.511495141&amp;y=4769643.463906475&amp;l=13&amp;v=2","FT")</f>
        <v>FT</v>
      </c>
      <c r="G16" s="29" t="s">
        <v>37</v>
      </c>
      <c r="H16" s="29" t="s">
        <v>24</v>
      </c>
      <c r="I16" s="45" t="s">
        <v>580</v>
      </c>
      <c r="J16" s="22" t="s">
        <v>25</v>
      </c>
      <c r="K16" s="46" t="s">
        <v>97</v>
      </c>
      <c r="L16" s="46" t="s">
        <v>51</v>
      </c>
      <c r="M16" s="45" t="s">
        <v>45</v>
      </c>
      <c r="N16" s="3" t="s">
        <v>34</v>
      </c>
      <c r="O16" s="46" t="s">
        <v>88</v>
      </c>
      <c r="P16" s="45" t="s">
        <v>629</v>
      </c>
      <c r="Q16" s="45" t="s">
        <v>29</v>
      </c>
      <c r="R16" s="23" t="s">
        <v>89</v>
      </c>
      <c r="S16" s="30">
        <v>424700</v>
      </c>
      <c r="T16" s="45" t="s">
        <v>30</v>
      </c>
      <c r="U16" s="31">
        <v>0</v>
      </c>
      <c r="V16" s="31">
        <v>-1</v>
      </c>
      <c r="W16" s="32">
        <v>0</v>
      </c>
      <c r="X16" s="33">
        <v>0</v>
      </c>
    </row>
    <row r="17" spans="1:24" x14ac:dyDescent="0.3">
      <c r="A17" s="51" t="s">
        <v>442</v>
      </c>
      <c r="B17" s="45" t="s">
        <v>476</v>
      </c>
      <c r="C17" s="45" t="s">
        <v>485</v>
      </c>
      <c r="D17" s="45" t="s">
        <v>499</v>
      </c>
      <c r="E17" s="45" t="s">
        <v>539</v>
      </c>
      <c r="F17" s="24" t="str">
        <f>HYPERLINK("https://mapwv.gov/flood/map/?wkid=102100&amp;x=-8759773.085028592&amp;y=4786195.944927521&amp;l=13&amp;v=2","FT")</f>
        <v>FT</v>
      </c>
      <c r="G17" s="29" t="s">
        <v>37</v>
      </c>
      <c r="H17" s="29" t="s">
        <v>24</v>
      </c>
      <c r="I17" s="45" t="s">
        <v>581</v>
      </c>
      <c r="J17" s="22" t="s">
        <v>38</v>
      </c>
      <c r="K17" s="46" t="s">
        <v>102</v>
      </c>
      <c r="L17" s="46" t="s">
        <v>26</v>
      </c>
      <c r="M17" s="45" t="s">
        <v>62</v>
      </c>
      <c r="N17" s="3" t="s">
        <v>84</v>
      </c>
      <c r="O17" s="46" t="s">
        <v>87</v>
      </c>
      <c r="P17" s="45" t="s">
        <v>163</v>
      </c>
      <c r="Q17" s="45" t="s">
        <v>29</v>
      </c>
      <c r="R17" s="23" t="s">
        <v>89</v>
      </c>
      <c r="S17" s="30">
        <v>422700</v>
      </c>
      <c r="T17" s="45" t="s">
        <v>42</v>
      </c>
      <c r="U17" s="31">
        <v>0</v>
      </c>
      <c r="V17" s="31">
        <v>-1</v>
      </c>
      <c r="W17" s="32">
        <v>0</v>
      </c>
      <c r="X17" s="33">
        <v>0</v>
      </c>
    </row>
    <row r="18" spans="1:24" x14ac:dyDescent="0.3">
      <c r="A18" s="51" t="s">
        <v>443</v>
      </c>
      <c r="B18" s="45" t="s">
        <v>476</v>
      </c>
      <c r="C18" s="45" t="s">
        <v>486</v>
      </c>
      <c r="D18" s="45" t="s">
        <v>500</v>
      </c>
      <c r="E18" s="45" t="s">
        <v>540</v>
      </c>
      <c r="F18" s="24" t="str">
        <f>HYPERLINK("https://mapwv.gov/flood/map/?wkid=102100&amp;x=-8771322.71674856&amp;y=4764378.92936467&amp;l=13&amp;v=2","FT")</f>
        <v>FT</v>
      </c>
      <c r="G18" s="29" t="s">
        <v>37</v>
      </c>
      <c r="H18" s="29" t="s">
        <v>24</v>
      </c>
      <c r="I18" s="45" t="s">
        <v>582</v>
      </c>
      <c r="J18" s="22" t="s">
        <v>25</v>
      </c>
      <c r="K18" s="46" t="s">
        <v>125</v>
      </c>
      <c r="L18" s="46" t="s">
        <v>36</v>
      </c>
      <c r="M18" s="45" t="s">
        <v>56</v>
      </c>
      <c r="N18" s="3" t="s">
        <v>85</v>
      </c>
      <c r="O18" s="46" t="s">
        <v>88</v>
      </c>
      <c r="P18" s="45" t="s">
        <v>630</v>
      </c>
      <c r="Q18" s="45" t="s">
        <v>29</v>
      </c>
      <c r="R18" s="23" t="s">
        <v>89</v>
      </c>
      <c r="S18" s="30">
        <v>404700</v>
      </c>
      <c r="T18" s="45" t="s">
        <v>30</v>
      </c>
      <c r="U18" s="31">
        <v>0.42260742000000001</v>
      </c>
      <c r="V18" s="31">
        <v>-0.577392578125</v>
      </c>
      <c r="W18" s="32">
        <v>0</v>
      </c>
      <c r="X18" s="33">
        <v>0</v>
      </c>
    </row>
    <row r="19" spans="1:24" x14ac:dyDescent="0.3">
      <c r="A19" s="51" t="s">
        <v>444</v>
      </c>
      <c r="B19" s="45" t="s">
        <v>476</v>
      </c>
      <c r="C19" s="45" t="s">
        <v>226</v>
      </c>
      <c r="D19" s="45" t="s">
        <v>501</v>
      </c>
      <c r="E19" s="45" t="s">
        <v>541</v>
      </c>
      <c r="F19" s="24" t="str">
        <f>HYPERLINK("https://mapwv.gov/flood/map/?wkid=102100&amp;x=-8749179.241343375&amp;y=4791655.307399698&amp;l=13&amp;v=2","FT")</f>
        <v>FT</v>
      </c>
      <c r="G19" s="29" t="s">
        <v>31</v>
      </c>
      <c r="H19" s="29" t="s">
        <v>138</v>
      </c>
      <c r="I19" s="45" t="s">
        <v>583</v>
      </c>
      <c r="J19" s="22" t="s">
        <v>38</v>
      </c>
      <c r="K19" s="46" t="s">
        <v>117</v>
      </c>
      <c r="L19" s="46" t="s">
        <v>32</v>
      </c>
      <c r="M19" s="45" t="s">
        <v>39</v>
      </c>
      <c r="N19" s="3" t="s">
        <v>40</v>
      </c>
      <c r="O19" s="46" t="s">
        <v>87</v>
      </c>
      <c r="P19" s="45" t="s">
        <v>631</v>
      </c>
      <c r="Q19" s="45" t="s">
        <v>29</v>
      </c>
      <c r="R19" s="23" t="s">
        <v>89</v>
      </c>
      <c r="S19" s="30">
        <v>400000</v>
      </c>
      <c r="T19" s="45" t="s">
        <v>151</v>
      </c>
      <c r="U19" s="31">
        <v>8.4140010000000007</v>
      </c>
      <c r="V19" s="31">
        <v>7.41400146484375</v>
      </c>
      <c r="W19" s="32">
        <v>0.64656005859374999</v>
      </c>
      <c r="X19" s="33">
        <v>258624.0234375</v>
      </c>
    </row>
    <row r="20" spans="1:24" x14ac:dyDescent="0.3">
      <c r="A20" s="51" t="s">
        <v>445</v>
      </c>
      <c r="B20" s="45" t="s">
        <v>476</v>
      </c>
      <c r="C20" s="45" t="s">
        <v>226</v>
      </c>
      <c r="D20" s="45" t="s">
        <v>502</v>
      </c>
      <c r="E20" s="45" t="s">
        <v>542</v>
      </c>
      <c r="F20" s="24" t="str">
        <f>HYPERLINK("https://mapwv.gov/flood/map/?wkid=102100&amp;x=-8764826.360732844&amp;y=4778491.843007705&amp;l=13&amp;v=2","FT")</f>
        <v>FT</v>
      </c>
      <c r="G20" s="29" t="s">
        <v>31</v>
      </c>
      <c r="H20" s="29" t="s">
        <v>24</v>
      </c>
      <c r="I20" s="45" t="s">
        <v>584</v>
      </c>
      <c r="J20" s="22" t="s">
        <v>38</v>
      </c>
      <c r="K20" s="46" t="s">
        <v>117</v>
      </c>
      <c r="L20" s="46" t="s">
        <v>51</v>
      </c>
      <c r="M20" s="45" t="s">
        <v>45</v>
      </c>
      <c r="N20" s="3" t="s">
        <v>34</v>
      </c>
      <c r="O20" s="46" t="s">
        <v>87</v>
      </c>
      <c r="P20" s="45" t="s">
        <v>632</v>
      </c>
      <c r="Q20" s="45" t="s">
        <v>29</v>
      </c>
      <c r="R20" s="23" t="s">
        <v>89</v>
      </c>
      <c r="S20" s="30">
        <v>380335</v>
      </c>
      <c r="T20" s="45" t="s">
        <v>91</v>
      </c>
      <c r="U20" s="31">
        <v>1</v>
      </c>
      <c r="V20" s="31">
        <v>0</v>
      </c>
      <c r="W20" s="32">
        <v>0.01</v>
      </c>
      <c r="X20" s="33">
        <v>3803.35</v>
      </c>
    </row>
    <row r="21" spans="1:24" x14ac:dyDescent="0.3">
      <c r="A21" s="51" t="s">
        <v>446</v>
      </c>
      <c r="B21" s="45" t="s">
        <v>477</v>
      </c>
      <c r="C21" s="45" t="s">
        <v>115</v>
      </c>
      <c r="D21" s="45" t="s">
        <v>503</v>
      </c>
      <c r="E21" s="45" t="s">
        <v>543</v>
      </c>
      <c r="F21" s="24" t="str">
        <f>HYPERLINK("https://mapwv.gov/flood/map/?wkid=102100&amp;x=-8766856.675959853&amp;y=4771490.181735284&amp;l=13&amp;v=2","FT")</f>
        <v>FT</v>
      </c>
      <c r="G21" s="29" t="s">
        <v>31</v>
      </c>
      <c r="H21" s="29" t="s">
        <v>24</v>
      </c>
      <c r="I21" s="45" t="s">
        <v>585</v>
      </c>
      <c r="J21" s="22" t="s">
        <v>38</v>
      </c>
      <c r="K21" s="46" t="s">
        <v>117</v>
      </c>
      <c r="L21" s="46"/>
      <c r="M21" s="45" t="s">
        <v>45</v>
      </c>
      <c r="N21" s="3" t="s">
        <v>34</v>
      </c>
      <c r="O21" s="46" t="s">
        <v>87</v>
      </c>
      <c r="P21" s="45" t="s">
        <v>633</v>
      </c>
      <c r="Q21" s="45" t="s">
        <v>29</v>
      </c>
      <c r="R21" s="23" t="s">
        <v>89</v>
      </c>
      <c r="S21" s="30">
        <v>376200</v>
      </c>
      <c r="T21" s="45" t="s">
        <v>91</v>
      </c>
      <c r="U21" s="31">
        <v>0.65539550000000002</v>
      </c>
      <c r="V21" s="31">
        <v>-0.3446044921875</v>
      </c>
      <c r="W21" s="32">
        <v>6.5539550781249997E-3</v>
      </c>
      <c r="X21" s="33">
        <v>2465.59790039062</v>
      </c>
    </row>
    <row r="22" spans="1:24" x14ac:dyDescent="0.3">
      <c r="A22" s="51" t="s">
        <v>447</v>
      </c>
      <c r="B22" s="45" t="s">
        <v>476</v>
      </c>
      <c r="C22" s="45" t="s">
        <v>481</v>
      </c>
      <c r="D22" s="45" t="s">
        <v>504</v>
      </c>
      <c r="E22" s="45" t="s">
        <v>544</v>
      </c>
      <c r="F22" s="24" t="str">
        <f>HYPERLINK("https://mapwv.gov/flood/map/?wkid=102100&amp;x=-8738105.859006628&amp;y=4770979.939773855&amp;l=13&amp;v=2","FT")</f>
        <v>FT</v>
      </c>
      <c r="G22" s="29" t="s">
        <v>37</v>
      </c>
      <c r="H22" s="29" t="s">
        <v>24</v>
      </c>
      <c r="I22" s="45" t="s">
        <v>586</v>
      </c>
      <c r="J22" s="22" t="s">
        <v>25</v>
      </c>
      <c r="K22" s="46" t="s">
        <v>100</v>
      </c>
      <c r="L22" s="46" t="s">
        <v>43</v>
      </c>
      <c r="M22" s="45" t="s">
        <v>39</v>
      </c>
      <c r="N22" s="3" t="s">
        <v>40</v>
      </c>
      <c r="O22" s="46" t="s">
        <v>87</v>
      </c>
      <c r="P22" s="45" t="s">
        <v>81</v>
      </c>
      <c r="Q22" s="45" t="s">
        <v>41</v>
      </c>
      <c r="R22" s="23" t="s">
        <v>90</v>
      </c>
      <c r="S22" s="30">
        <v>362000</v>
      </c>
      <c r="T22" s="45" t="s">
        <v>42</v>
      </c>
      <c r="U22" s="31">
        <v>2.7020873999999999</v>
      </c>
      <c r="V22" s="31">
        <v>-1.29791259765625</v>
      </c>
      <c r="W22" s="32">
        <v>0.17510437011718699</v>
      </c>
      <c r="X22" s="33">
        <v>63387.781982421802</v>
      </c>
    </row>
    <row r="23" spans="1:24" x14ac:dyDescent="0.3">
      <c r="A23" s="51" t="s">
        <v>448</v>
      </c>
      <c r="B23" s="45" t="s">
        <v>478</v>
      </c>
      <c r="C23" s="45" t="s">
        <v>483</v>
      </c>
      <c r="D23" s="45" t="s">
        <v>505</v>
      </c>
      <c r="E23" s="45" t="s">
        <v>545</v>
      </c>
      <c r="F23" s="24" t="str">
        <f>HYPERLINK("https://mapwv.gov/flood/map/?wkid=102100&amp;x=-8731070.805822385&amp;y=4764405.601739787&amp;l=13&amp;v=2","FT")</f>
        <v>FT</v>
      </c>
      <c r="G23" s="29" t="s">
        <v>31</v>
      </c>
      <c r="H23" s="31" t="s">
        <v>138</v>
      </c>
      <c r="I23" s="45" t="s">
        <v>587</v>
      </c>
      <c r="J23" s="22" t="s">
        <v>38</v>
      </c>
      <c r="K23" s="46" t="s">
        <v>126</v>
      </c>
      <c r="L23" s="46" t="s">
        <v>44</v>
      </c>
      <c r="M23" s="45" t="s">
        <v>147</v>
      </c>
      <c r="N23" s="3" t="s">
        <v>34</v>
      </c>
      <c r="O23" s="46" t="s">
        <v>87</v>
      </c>
      <c r="P23" s="45" t="s">
        <v>634</v>
      </c>
      <c r="Q23" s="45" t="s">
        <v>29</v>
      </c>
      <c r="R23" s="23" t="s">
        <v>89</v>
      </c>
      <c r="S23" s="30">
        <v>361300</v>
      </c>
      <c r="T23" s="45" t="s">
        <v>42</v>
      </c>
      <c r="U23" s="31">
        <v>0.46765137000000001</v>
      </c>
      <c r="V23" s="31">
        <v>-0.5323486328125</v>
      </c>
      <c r="W23" s="32">
        <v>0</v>
      </c>
      <c r="X23" s="33">
        <v>0</v>
      </c>
    </row>
    <row r="24" spans="1:24" x14ac:dyDescent="0.3">
      <c r="A24" s="51" t="s">
        <v>449</v>
      </c>
      <c r="B24" s="45" t="s">
        <v>476</v>
      </c>
      <c r="C24" s="45" t="s">
        <v>481</v>
      </c>
      <c r="D24" s="45" t="s">
        <v>506</v>
      </c>
      <c r="E24" s="45" t="s">
        <v>546</v>
      </c>
      <c r="F24" s="24" t="str">
        <f>HYPERLINK("https://mapwv.gov/flood/map/?wkid=102100&amp;x=-8749213.24221205&amp;y=4751462.086718751&amp;l=13&amp;v=2","FT")</f>
        <v>FT</v>
      </c>
      <c r="G24" s="29" t="s">
        <v>37</v>
      </c>
      <c r="H24" s="29" t="s">
        <v>24</v>
      </c>
      <c r="I24" s="45" t="s">
        <v>588</v>
      </c>
      <c r="J24" s="22" t="s">
        <v>25</v>
      </c>
      <c r="K24" s="46" t="s">
        <v>112</v>
      </c>
      <c r="L24" s="46" t="s">
        <v>26</v>
      </c>
      <c r="M24" s="45" t="s">
        <v>56</v>
      </c>
      <c r="N24" s="3" t="s">
        <v>85</v>
      </c>
      <c r="O24" s="46" t="s">
        <v>87</v>
      </c>
      <c r="P24" s="45" t="s">
        <v>635</v>
      </c>
      <c r="Q24" s="45" t="s">
        <v>29</v>
      </c>
      <c r="R24" s="23" t="s">
        <v>89</v>
      </c>
      <c r="S24" s="30">
        <v>352100</v>
      </c>
      <c r="T24" s="45" t="s">
        <v>42</v>
      </c>
      <c r="U24" s="31">
        <v>0.88140870000000004</v>
      </c>
      <c r="V24" s="31">
        <v>-0.11859130859375</v>
      </c>
      <c r="W24" s="32">
        <v>0</v>
      </c>
      <c r="X24" s="33">
        <v>0</v>
      </c>
    </row>
    <row r="25" spans="1:24" x14ac:dyDescent="0.3">
      <c r="A25" s="51" t="s">
        <v>450</v>
      </c>
      <c r="B25" s="45" t="s">
        <v>476</v>
      </c>
      <c r="C25" s="45" t="s">
        <v>486</v>
      </c>
      <c r="D25" s="45" t="s">
        <v>500</v>
      </c>
      <c r="E25" s="45" t="s">
        <v>547</v>
      </c>
      <c r="F25" s="24" t="str">
        <f>HYPERLINK("https://mapwv.gov/flood/map/?wkid=102100&amp;x=-8771101.188624175&amp;y=4764139.871826695&amp;l=13&amp;v=2","FT")</f>
        <v>FT</v>
      </c>
      <c r="G25" s="29" t="s">
        <v>37</v>
      </c>
      <c r="H25" s="29" t="s">
        <v>24</v>
      </c>
      <c r="I25" s="45" t="s">
        <v>582</v>
      </c>
      <c r="J25" s="22" t="s">
        <v>25</v>
      </c>
      <c r="K25" s="46" t="s">
        <v>125</v>
      </c>
      <c r="L25" s="46" t="s">
        <v>36</v>
      </c>
      <c r="M25" s="45" t="s">
        <v>56</v>
      </c>
      <c r="N25" s="3" t="s">
        <v>85</v>
      </c>
      <c r="O25" s="46" t="s">
        <v>88</v>
      </c>
      <c r="P25" s="45" t="s">
        <v>636</v>
      </c>
      <c r="Q25" s="45" t="s">
        <v>29</v>
      </c>
      <c r="R25" s="23" t="s">
        <v>89</v>
      </c>
      <c r="S25" s="30">
        <v>351600</v>
      </c>
      <c r="T25" s="45" t="s">
        <v>30</v>
      </c>
      <c r="U25" s="31">
        <v>0.12475586</v>
      </c>
      <c r="V25" s="31">
        <v>-0.875244140625</v>
      </c>
      <c r="W25" s="32">
        <v>0</v>
      </c>
      <c r="X25" s="33">
        <v>0</v>
      </c>
    </row>
    <row r="26" spans="1:24" x14ac:dyDescent="0.3">
      <c r="A26" s="51" t="s">
        <v>451</v>
      </c>
      <c r="B26" s="45" t="s">
        <v>476</v>
      </c>
      <c r="C26" s="45" t="s">
        <v>481</v>
      </c>
      <c r="D26" s="45" t="s">
        <v>507</v>
      </c>
      <c r="E26" s="45" t="s">
        <v>548</v>
      </c>
      <c r="F26" s="24" t="str">
        <f>HYPERLINK("https://mapwv.gov/flood/map/?wkid=102100&amp;x=-8738814.548941283&amp;y=4772366.246303063&amp;l=13&amp;v=2","FT")</f>
        <v>FT</v>
      </c>
      <c r="G26" s="29" t="s">
        <v>37</v>
      </c>
      <c r="H26" s="29" t="s">
        <v>24</v>
      </c>
      <c r="I26" s="45" t="s">
        <v>589</v>
      </c>
      <c r="J26" s="22" t="s">
        <v>25</v>
      </c>
      <c r="K26" s="46" t="s">
        <v>118</v>
      </c>
      <c r="L26" s="46" t="s">
        <v>48</v>
      </c>
      <c r="M26" s="45" t="s">
        <v>39</v>
      </c>
      <c r="N26" s="3" t="s">
        <v>40</v>
      </c>
      <c r="O26" s="46" t="s">
        <v>87</v>
      </c>
      <c r="P26" s="45" t="s">
        <v>637</v>
      </c>
      <c r="Q26" s="45" t="s">
        <v>41</v>
      </c>
      <c r="R26" s="23" t="s">
        <v>90</v>
      </c>
      <c r="S26" s="30">
        <v>336100</v>
      </c>
      <c r="T26" s="45" t="s">
        <v>42</v>
      </c>
      <c r="U26" s="31">
        <v>0</v>
      </c>
      <c r="V26" s="31">
        <v>-4</v>
      </c>
      <c r="W26" s="32">
        <v>0</v>
      </c>
      <c r="X26" s="33">
        <v>0</v>
      </c>
    </row>
    <row r="27" spans="1:24" x14ac:dyDescent="0.3">
      <c r="A27" s="51" t="s">
        <v>452</v>
      </c>
      <c r="B27" s="45" t="s">
        <v>478</v>
      </c>
      <c r="C27" s="45" t="s">
        <v>483</v>
      </c>
      <c r="D27" s="45" t="s">
        <v>508</v>
      </c>
      <c r="E27" s="45" t="s">
        <v>549</v>
      </c>
      <c r="F27" s="24" t="str">
        <f>HYPERLINK("https://mapwv.gov/flood/map/?wkid=102100&amp;x=-8731093.070277143&amp;y=4764304.794860184&amp;l=13&amp;v=2","FT")</f>
        <v>FT</v>
      </c>
      <c r="G27" s="29" t="s">
        <v>31</v>
      </c>
      <c r="H27" s="29" t="s">
        <v>138</v>
      </c>
      <c r="I27" s="45" t="s">
        <v>590</v>
      </c>
      <c r="J27" s="22" t="s">
        <v>38</v>
      </c>
      <c r="K27" s="46" t="s">
        <v>122</v>
      </c>
      <c r="L27" s="46" t="s">
        <v>44</v>
      </c>
      <c r="M27" s="45" t="s">
        <v>147</v>
      </c>
      <c r="N27" s="3" t="s">
        <v>34</v>
      </c>
      <c r="O27" s="46" t="s">
        <v>87</v>
      </c>
      <c r="P27" s="45" t="s">
        <v>638</v>
      </c>
      <c r="Q27" s="45" t="s">
        <v>29</v>
      </c>
      <c r="R27" s="23" t="s">
        <v>89</v>
      </c>
      <c r="S27" s="30">
        <v>317600</v>
      </c>
      <c r="T27" s="45" t="s">
        <v>42</v>
      </c>
      <c r="U27" s="31">
        <v>1</v>
      </c>
      <c r="V27" s="31">
        <v>0</v>
      </c>
      <c r="W27" s="32">
        <v>0</v>
      </c>
      <c r="X27" s="33">
        <v>0</v>
      </c>
    </row>
    <row r="28" spans="1:24" x14ac:dyDescent="0.3">
      <c r="A28" s="51" t="s">
        <v>453</v>
      </c>
      <c r="B28" s="45" t="s">
        <v>476</v>
      </c>
      <c r="C28" s="45" t="s">
        <v>482</v>
      </c>
      <c r="D28" s="45" t="s">
        <v>495</v>
      </c>
      <c r="E28" s="45" t="s">
        <v>550</v>
      </c>
      <c r="F28" s="24" t="str">
        <f>HYPERLINK("https://mapwv.gov/flood/map/?wkid=102100&amp;x=-8752481.875788597&amp;y=4798584.822429003&amp;l=13&amp;v=2","FT")</f>
        <v>FT</v>
      </c>
      <c r="G28" s="29" t="s">
        <v>37</v>
      </c>
      <c r="H28" s="29" t="s">
        <v>24</v>
      </c>
      <c r="I28" s="45" t="s">
        <v>577</v>
      </c>
      <c r="J28" s="22" t="s">
        <v>25</v>
      </c>
      <c r="K28" s="46" t="s">
        <v>99</v>
      </c>
      <c r="L28" s="46" t="s">
        <v>36</v>
      </c>
      <c r="M28" s="45" t="s">
        <v>61</v>
      </c>
      <c r="N28" s="3" t="s">
        <v>34</v>
      </c>
      <c r="O28" s="46" t="s">
        <v>87</v>
      </c>
      <c r="P28" s="45" t="s">
        <v>639</v>
      </c>
      <c r="Q28" s="45" t="s">
        <v>29</v>
      </c>
      <c r="R28" s="23" t="s">
        <v>89</v>
      </c>
      <c r="S28" s="30">
        <v>315729</v>
      </c>
      <c r="T28" s="45" t="s">
        <v>91</v>
      </c>
      <c r="U28" s="31">
        <v>2.1925659999999998</v>
      </c>
      <c r="V28" s="31">
        <v>1.19256591796875</v>
      </c>
      <c r="W28" s="32">
        <v>5.5776977539062501E-2</v>
      </c>
      <c r="X28" s="33">
        <v>17610.409341430601</v>
      </c>
    </row>
    <row r="29" spans="1:24" x14ac:dyDescent="0.3">
      <c r="A29" s="51" t="s">
        <v>454</v>
      </c>
      <c r="B29" s="45" t="s">
        <v>476</v>
      </c>
      <c r="C29" s="45" t="s">
        <v>487</v>
      </c>
      <c r="D29" s="45" t="s">
        <v>509</v>
      </c>
      <c r="E29" s="45" t="s">
        <v>551</v>
      </c>
      <c r="F29" s="24" t="str">
        <f>HYPERLINK("https://mapwv.gov/flood/map/?wkid=102100&amp;x=-8745217.784978434&amp;y=4783051.280871585&amp;l=13&amp;v=2","FT")</f>
        <v>FT</v>
      </c>
      <c r="G29" s="29" t="s">
        <v>37</v>
      </c>
      <c r="H29" s="29" t="s">
        <v>24</v>
      </c>
      <c r="I29" s="45" t="s">
        <v>591</v>
      </c>
      <c r="J29" s="22" t="s">
        <v>25</v>
      </c>
      <c r="K29" s="46" t="s">
        <v>76</v>
      </c>
      <c r="L29" s="46" t="s">
        <v>43</v>
      </c>
      <c r="M29" s="45" t="s">
        <v>39</v>
      </c>
      <c r="N29" s="3" t="s">
        <v>40</v>
      </c>
      <c r="O29" s="46" t="s">
        <v>87</v>
      </c>
      <c r="P29" s="45" t="s">
        <v>640</v>
      </c>
      <c r="Q29" s="45" t="s">
        <v>50</v>
      </c>
      <c r="R29" s="23" t="s">
        <v>90</v>
      </c>
      <c r="S29" s="30">
        <v>300200</v>
      </c>
      <c r="T29" s="45" t="s">
        <v>30</v>
      </c>
      <c r="U29" s="31">
        <v>0</v>
      </c>
      <c r="V29" s="31">
        <v>-4</v>
      </c>
      <c r="W29" s="32">
        <v>0</v>
      </c>
      <c r="X29" s="33">
        <v>0</v>
      </c>
    </row>
    <row r="30" spans="1:24" x14ac:dyDescent="0.3">
      <c r="A30" s="51" t="s">
        <v>455</v>
      </c>
      <c r="B30" s="45" t="s">
        <v>476</v>
      </c>
      <c r="C30" s="45" t="s">
        <v>481</v>
      </c>
      <c r="D30" s="45" t="s">
        <v>510</v>
      </c>
      <c r="E30" s="45" t="s">
        <v>552</v>
      </c>
      <c r="F30" s="24" t="str">
        <f>HYPERLINK("https://mapwv.gov/flood/map/?wkid=102100&amp;x=-8738764.108744169&amp;y=4771669.561611349&amp;l=13&amp;v=2","FT")</f>
        <v>FT</v>
      </c>
      <c r="G30" s="29" t="s">
        <v>37</v>
      </c>
      <c r="H30" s="29" t="s">
        <v>24</v>
      </c>
      <c r="I30" s="45" t="s">
        <v>592</v>
      </c>
      <c r="J30" s="22" t="s">
        <v>25</v>
      </c>
      <c r="K30" s="46" t="s">
        <v>80</v>
      </c>
      <c r="L30" s="46" t="s">
        <v>44</v>
      </c>
      <c r="M30" s="45" t="s">
        <v>39</v>
      </c>
      <c r="N30" s="3" t="s">
        <v>40</v>
      </c>
      <c r="O30" s="46" t="s">
        <v>87</v>
      </c>
      <c r="P30" s="45" t="s">
        <v>641</v>
      </c>
      <c r="Q30" s="45" t="s">
        <v>50</v>
      </c>
      <c r="R30" s="23" t="s">
        <v>90</v>
      </c>
      <c r="S30" s="30">
        <v>294200</v>
      </c>
      <c r="T30" s="45" t="s">
        <v>42</v>
      </c>
      <c r="U30" s="31">
        <v>0</v>
      </c>
      <c r="V30" s="31">
        <v>-4</v>
      </c>
      <c r="W30" s="32">
        <v>0</v>
      </c>
      <c r="X30" s="33">
        <v>0</v>
      </c>
    </row>
    <row r="31" spans="1:24" x14ac:dyDescent="0.3">
      <c r="A31" s="51" t="s">
        <v>456</v>
      </c>
      <c r="B31" s="45" t="s">
        <v>476</v>
      </c>
      <c r="C31" s="45" t="s">
        <v>485</v>
      </c>
      <c r="D31" s="45" t="s">
        <v>511</v>
      </c>
      <c r="E31" s="45" t="s">
        <v>553</v>
      </c>
      <c r="F31" s="24" t="str">
        <f>HYPERLINK("https://mapwv.gov/flood/map/?wkid=102100&amp;x=-8760417.590037284&amp;y=4786744.659532206&amp;l=13&amp;v=2","FT")</f>
        <v>FT</v>
      </c>
      <c r="G31" s="29" t="s">
        <v>37</v>
      </c>
      <c r="H31" s="29" t="s">
        <v>24</v>
      </c>
      <c r="I31" s="45" t="s">
        <v>587</v>
      </c>
      <c r="J31" s="22" t="s">
        <v>25</v>
      </c>
      <c r="K31" s="46" t="s">
        <v>73</v>
      </c>
      <c r="L31" s="46" t="s">
        <v>44</v>
      </c>
      <c r="M31" s="45" t="s">
        <v>147</v>
      </c>
      <c r="N31" s="3" t="s">
        <v>34</v>
      </c>
      <c r="O31" s="46" t="s">
        <v>87</v>
      </c>
      <c r="P31" s="45" t="s">
        <v>431</v>
      </c>
      <c r="Q31" s="45" t="s">
        <v>29</v>
      </c>
      <c r="R31" s="23" t="s">
        <v>89</v>
      </c>
      <c r="S31" s="30">
        <v>282100</v>
      </c>
      <c r="T31" s="45" t="s">
        <v>42</v>
      </c>
      <c r="U31" s="31">
        <v>0</v>
      </c>
      <c r="V31" s="31">
        <v>-1</v>
      </c>
      <c r="W31" s="32">
        <v>0</v>
      </c>
      <c r="X31" s="33">
        <v>0</v>
      </c>
    </row>
    <row r="32" spans="1:24" x14ac:dyDescent="0.3">
      <c r="A32" s="51" t="s">
        <v>457</v>
      </c>
      <c r="B32" s="45" t="s">
        <v>476</v>
      </c>
      <c r="C32" s="45" t="s">
        <v>488</v>
      </c>
      <c r="D32" s="45" t="s">
        <v>512</v>
      </c>
      <c r="E32" s="45" t="s">
        <v>554</v>
      </c>
      <c r="F32" s="24" t="str">
        <f>HYPERLINK("https://mapwv.gov/flood/map/?wkid=102100&amp;x=-8764775.319967078&amp;y=4751334.504389507&amp;l=13&amp;v=2","FT")</f>
        <v>FT</v>
      </c>
      <c r="G32" s="29" t="s">
        <v>37</v>
      </c>
      <c r="H32" s="29" t="s">
        <v>24</v>
      </c>
      <c r="I32" s="45" t="s">
        <v>593</v>
      </c>
      <c r="J32" s="22" t="s">
        <v>25</v>
      </c>
      <c r="K32" s="46" t="s">
        <v>123</v>
      </c>
      <c r="L32" s="46" t="s">
        <v>26</v>
      </c>
      <c r="M32" s="45" t="s">
        <v>54</v>
      </c>
      <c r="N32" s="3" t="s">
        <v>34</v>
      </c>
      <c r="O32" s="46" t="s">
        <v>87</v>
      </c>
      <c r="P32" s="45" t="s">
        <v>642</v>
      </c>
      <c r="Q32" s="45" t="s">
        <v>29</v>
      </c>
      <c r="R32" s="23" t="s">
        <v>89</v>
      </c>
      <c r="S32" s="30">
        <v>263600</v>
      </c>
      <c r="T32" s="45" t="s">
        <v>30</v>
      </c>
      <c r="U32" s="31">
        <v>0</v>
      </c>
      <c r="V32" s="31">
        <v>-1</v>
      </c>
      <c r="W32" s="32">
        <v>0</v>
      </c>
      <c r="X32" s="33">
        <v>0</v>
      </c>
    </row>
    <row r="33" spans="1:24" x14ac:dyDescent="0.3">
      <c r="A33" s="51" t="s">
        <v>458</v>
      </c>
      <c r="B33" s="45" t="s">
        <v>476</v>
      </c>
      <c r="C33" s="45" t="s">
        <v>486</v>
      </c>
      <c r="D33" s="45" t="s">
        <v>500</v>
      </c>
      <c r="E33" s="45" t="s">
        <v>555</v>
      </c>
      <c r="F33" s="24" t="str">
        <f>HYPERLINK("https://mapwv.gov/flood/map/?wkid=102100&amp;x=-8771101.773830738&amp;y=4764209.695351636&amp;l=13&amp;v=2","FT")</f>
        <v>FT</v>
      </c>
      <c r="G33" s="29" t="s">
        <v>37</v>
      </c>
      <c r="H33" s="29" t="s">
        <v>24</v>
      </c>
      <c r="I33" s="45" t="s">
        <v>582</v>
      </c>
      <c r="J33" s="22" t="s">
        <v>25</v>
      </c>
      <c r="K33" s="46" t="s">
        <v>125</v>
      </c>
      <c r="L33" s="46" t="s">
        <v>36</v>
      </c>
      <c r="M33" s="45" t="s">
        <v>56</v>
      </c>
      <c r="N33" s="3" t="s">
        <v>85</v>
      </c>
      <c r="O33" s="46" t="s">
        <v>88</v>
      </c>
      <c r="P33" s="45" t="s">
        <v>643</v>
      </c>
      <c r="Q33" s="45" t="s">
        <v>29</v>
      </c>
      <c r="R33" s="23" t="s">
        <v>89</v>
      </c>
      <c r="S33" s="30">
        <v>257700</v>
      </c>
      <c r="T33" s="45" t="s">
        <v>30</v>
      </c>
      <c r="U33" s="31">
        <v>0</v>
      </c>
      <c r="V33" s="31">
        <v>-1</v>
      </c>
      <c r="W33" s="32">
        <v>0</v>
      </c>
      <c r="X33" s="33">
        <v>0</v>
      </c>
    </row>
    <row r="34" spans="1:24" x14ac:dyDescent="0.3">
      <c r="A34" s="51" t="s">
        <v>459</v>
      </c>
      <c r="B34" s="45" t="s">
        <v>478</v>
      </c>
      <c r="C34" s="45" t="s">
        <v>483</v>
      </c>
      <c r="D34" s="45" t="s">
        <v>513</v>
      </c>
      <c r="E34" s="45" t="s">
        <v>556</v>
      </c>
      <c r="F34" s="24" t="str">
        <f>HYPERLINK("https://mapwv.gov/flood/map/?wkid=102100&amp;x=-8730791.44121128&amp;y=4763992.940161052&amp;l=13&amp;v=2","FT")</f>
        <v>FT</v>
      </c>
      <c r="G34" s="29" t="s">
        <v>31</v>
      </c>
      <c r="H34" s="29" t="s">
        <v>24</v>
      </c>
      <c r="I34" s="45" t="s">
        <v>594</v>
      </c>
      <c r="J34" s="22" t="s">
        <v>38</v>
      </c>
      <c r="K34" s="46" t="s">
        <v>613</v>
      </c>
      <c r="L34" s="46" t="s">
        <v>43</v>
      </c>
      <c r="M34" s="45" t="s">
        <v>39</v>
      </c>
      <c r="N34" s="3" t="s">
        <v>40</v>
      </c>
      <c r="O34" s="46" t="s">
        <v>88</v>
      </c>
      <c r="P34" s="45" t="s">
        <v>644</v>
      </c>
      <c r="Q34" s="45" t="s">
        <v>41</v>
      </c>
      <c r="R34" s="23" t="s">
        <v>90</v>
      </c>
      <c r="S34" s="30">
        <v>257700</v>
      </c>
      <c r="T34" s="45" t="s">
        <v>42</v>
      </c>
      <c r="U34" s="31">
        <v>0</v>
      </c>
      <c r="V34" s="31">
        <v>-4</v>
      </c>
      <c r="W34" s="32">
        <v>0</v>
      </c>
      <c r="X34" s="33">
        <v>0</v>
      </c>
    </row>
    <row r="35" spans="1:24" x14ac:dyDescent="0.3">
      <c r="A35" s="51" t="s">
        <v>460</v>
      </c>
      <c r="B35" s="45" t="s">
        <v>476</v>
      </c>
      <c r="C35" s="45" t="s">
        <v>489</v>
      </c>
      <c r="D35" s="45" t="s">
        <v>514</v>
      </c>
      <c r="E35" s="45" t="s">
        <v>557</v>
      </c>
      <c r="F35" s="24" t="str">
        <f>HYPERLINK("https://mapwv.gov/flood/map/?wkid=102100&amp;x=-8735919.790334841&amp;y=4759833.479872099&amp;l=13&amp;v=2","FT")</f>
        <v>FT</v>
      </c>
      <c r="G35" s="29" t="s">
        <v>37</v>
      </c>
      <c r="H35" s="29" t="s">
        <v>24</v>
      </c>
      <c r="I35" s="45" t="s">
        <v>595</v>
      </c>
      <c r="J35" s="22" t="s">
        <v>25</v>
      </c>
      <c r="K35" s="46" t="s">
        <v>79</v>
      </c>
      <c r="L35" s="46" t="s">
        <v>43</v>
      </c>
      <c r="M35" s="45" t="s">
        <v>39</v>
      </c>
      <c r="N35" s="3" t="s">
        <v>40</v>
      </c>
      <c r="O35" s="46" t="s">
        <v>87</v>
      </c>
      <c r="P35" s="45" t="s">
        <v>645</v>
      </c>
      <c r="Q35" s="45" t="s">
        <v>41</v>
      </c>
      <c r="R35" s="23" t="s">
        <v>90</v>
      </c>
      <c r="S35" s="30">
        <v>246500</v>
      </c>
      <c r="T35" s="45" t="s">
        <v>42</v>
      </c>
      <c r="U35" s="31">
        <v>0.80450440000000001</v>
      </c>
      <c r="V35" s="31">
        <v>-3.19549560546875</v>
      </c>
      <c r="W35" s="32">
        <v>0</v>
      </c>
      <c r="X35" s="33">
        <v>0</v>
      </c>
    </row>
    <row r="36" spans="1:24" x14ac:dyDescent="0.3">
      <c r="A36" s="51" t="s">
        <v>461</v>
      </c>
      <c r="B36" s="45" t="s">
        <v>476</v>
      </c>
      <c r="C36" s="45" t="s">
        <v>481</v>
      </c>
      <c r="D36" s="45" t="s">
        <v>515</v>
      </c>
      <c r="E36" s="45" t="s">
        <v>558</v>
      </c>
      <c r="F36" s="24" t="str">
        <f>HYPERLINK("https://mapwv.gov/flood/map/?wkid=102100&amp;x=-8738179.663272431&amp;y=4770798.008046073&amp;l=13&amp;v=2","FT")</f>
        <v>FT</v>
      </c>
      <c r="G36" s="29" t="s">
        <v>37</v>
      </c>
      <c r="H36" s="29" t="s">
        <v>24</v>
      </c>
      <c r="I36" s="45" t="s">
        <v>596</v>
      </c>
      <c r="J36" s="22" t="s">
        <v>38</v>
      </c>
      <c r="K36" s="46" t="s">
        <v>614</v>
      </c>
      <c r="L36" s="46" t="s">
        <v>44</v>
      </c>
      <c r="M36" s="45" t="s">
        <v>39</v>
      </c>
      <c r="N36" s="3" t="s">
        <v>40</v>
      </c>
      <c r="O36" s="46" t="s">
        <v>88</v>
      </c>
      <c r="P36" s="45" t="s">
        <v>646</v>
      </c>
      <c r="Q36" s="45" t="s">
        <v>29</v>
      </c>
      <c r="R36" s="23" t="s">
        <v>89</v>
      </c>
      <c r="S36" s="30">
        <v>246300</v>
      </c>
      <c r="T36" s="45" t="s">
        <v>42</v>
      </c>
      <c r="U36" s="31">
        <v>1.5178833</v>
      </c>
      <c r="V36" s="31">
        <v>0.51788330078125</v>
      </c>
      <c r="W36" s="32">
        <v>0.11517883300781201</v>
      </c>
      <c r="X36" s="33">
        <v>28368.546569824201</v>
      </c>
    </row>
    <row r="37" spans="1:24" x14ac:dyDescent="0.3">
      <c r="A37" s="51" t="s">
        <v>462</v>
      </c>
      <c r="B37" s="45" t="s">
        <v>478</v>
      </c>
      <c r="C37" s="45" t="s">
        <v>483</v>
      </c>
      <c r="D37" s="45" t="s">
        <v>516</v>
      </c>
      <c r="E37" s="45" t="s">
        <v>559</v>
      </c>
      <c r="F37" s="24" t="str">
        <f>HYPERLINK("https://mapwv.gov/flood/map/?wkid=102100&amp;x=-8730748.71122474&amp;y=4764192.603749892&amp;l=13&amp;v=2","FT")</f>
        <v>FT</v>
      </c>
      <c r="G37" s="29" t="s">
        <v>31</v>
      </c>
      <c r="H37" s="29" t="s">
        <v>24</v>
      </c>
      <c r="I37" s="45" t="s">
        <v>597</v>
      </c>
      <c r="J37" s="22" t="s">
        <v>38</v>
      </c>
      <c r="K37" s="46" t="s">
        <v>104</v>
      </c>
      <c r="L37" s="46" t="s">
        <v>26</v>
      </c>
      <c r="M37" s="45" t="s">
        <v>45</v>
      </c>
      <c r="N37" s="3" t="s">
        <v>34</v>
      </c>
      <c r="O37" s="46" t="s">
        <v>88</v>
      </c>
      <c r="P37" s="45" t="s">
        <v>647</v>
      </c>
      <c r="Q37" s="45" t="s">
        <v>29</v>
      </c>
      <c r="R37" s="23" t="s">
        <v>89</v>
      </c>
      <c r="S37" s="30">
        <v>239300</v>
      </c>
      <c r="T37" s="45" t="s">
        <v>42</v>
      </c>
      <c r="U37" s="31">
        <v>0</v>
      </c>
      <c r="V37" s="31">
        <v>-1</v>
      </c>
      <c r="W37" s="32">
        <v>0</v>
      </c>
      <c r="X37" s="33">
        <v>0</v>
      </c>
    </row>
    <row r="38" spans="1:24" x14ac:dyDescent="0.3">
      <c r="A38" s="51" t="s">
        <v>463</v>
      </c>
      <c r="B38" s="45" t="s">
        <v>476</v>
      </c>
      <c r="C38" s="45" t="s">
        <v>484</v>
      </c>
      <c r="D38" s="45" t="s">
        <v>517</v>
      </c>
      <c r="E38" s="45" t="s">
        <v>560</v>
      </c>
      <c r="F38" s="24" t="str">
        <f>HYPERLINK("https://mapwv.gov/flood/map/?wkid=102100&amp;x=-8787048.474341393&amp;y=4757184.726529934&amp;l=13&amp;v=2","FT")</f>
        <v>FT</v>
      </c>
      <c r="G38" s="29" t="s">
        <v>37</v>
      </c>
      <c r="H38" s="29" t="s">
        <v>24</v>
      </c>
      <c r="I38" s="45" t="s">
        <v>598</v>
      </c>
      <c r="J38" s="22" t="s">
        <v>38</v>
      </c>
      <c r="K38" s="46" t="s">
        <v>615</v>
      </c>
      <c r="L38" s="46" t="s">
        <v>55</v>
      </c>
      <c r="M38" s="45" t="s">
        <v>39</v>
      </c>
      <c r="N38" s="3" t="s">
        <v>40</v>
      </c>
      <c r="O38" s="46" t="s">
        <v>88</v>
      </c>
      <c r="P38" s="45" t="s">
        <v>648</v>
      </c>
      <c r="Q38" s="45" t="s">
        <v>41</v>
      </c>
      <c r="R38" s="23" t="s">
        <v>90</v>
      </c>
      <c r="S38" s="30">
        <v>236700</v>
      </c>
      <c r="T38" s="45" t="s">
        <v>42</v>
      </c>
      <c r="U38" s="31">
        <v>0</v>
      </c>
      <c r="V38" s="31">
        <v>-4</v>
      </c>
      <c r="W38" s="32">
        <v>0</v>
      </c>
      <c r="X38" s="33">
        <v>0</v>
      </c>
    </row>
    <row r="39" spans="1:24" x14ac:dyDescent="0.3">
      <c r="A39" s="51" t="s">
        <v>464</v>
      </c>
      <c r="B39" s="45" t="s">
        <v>477</v>
      </c>
      <c r="C39" s="45" t="s">
        <v>115</v>
      </c>
      <c r="D39" s="45" t="s">
        <v>518</v>
      </c>
      <c r="E39" s="45" t="s">
        <v>561</v>
      </c>
      <c r="F39" s="24" t="str">
        <f>HYPERLINK("https://mapwv.gov/flood/map/?wkid=102100&amp;x=-8766851.01436187&amp;y=4771508.049532808&amp;l=13&amp;v=2","FT")</f>
        <v>FT</v>
      </c>
      <c r="G39" s="29" t="s">
        <v>31</v>
      </c>
      <c r="H39" s="29" t="s">
        <v>24</v>
      </c>
      <c r="I39" s="45" t="s">
        <v>599</v>
      </c>
      <c r="J39" s="22" t="s">
        <v>38</v>
      </c>
      <c r="K39" s="46" t="s">
        <v>78</v>
      </c>
      <c r="L39" s="46" t="s">
        <v>36</v>
      </c>
      <c r="M39" s="45" t="s">
        <v>49</v>
      </c>
      <c r="N39" s="3" t="s">
        <v>34</v>
      </c>
      <c r="O39" s="46" t="s">
        <v>87</v>
      </c>
      <c r="P39" s="45" t="s">
        <v>649</v>
      </c>
      <c r="Q39" s="45" t="s">
        <v>29</v>
      </c>
      <c r="R39" s="23" t="s">
        <v>89</v>
      </c>
      <c r="S39" s="30">
        <v>232500</v>
      </c>
      <c r="T39" s="45" t="s">
        <v>42</v>
      </c>
      <c r="U39" s="31">
        <v>1.6716918999999999</v>
      </c>
      <c r="V39" s="31">
        <v>0.67169189453125</v>
      </c>
      <c r="W39" s="32">
        <v>6.3735351562500001E-2</v>
      </c>
      <c r="X39" s="33">
        <v>14818.469238281201</v>
      </c>
    </row>
    <row r="40" spans="1:24" x14ac:dyDescent="0.3">
      <c r="A40" s="51" t="s">
        <v>465</v>
      </c>
      <c r="B40" s="45" t="s">
        <v>476</v>
      </c>
      <c r="C40" s="45" t="s">
        <v>481</v>
      </c>
      <c r="D40" s="45" t="s">
        <v>519</v>
      </c>
      <c r="E40" s="45" t="s">
        <v>562</v>
      </c>
      <c r="F40" s="24" t="str">
        <f>HYPERLINK("https://mapwv.gov/flood/map/?wkid=102100&amp;x=-8738714.342363933&amp;y=4771587.468876008&amp;l=13&amp;v=2","FT")</f>
        <v>FT</v>
      </c>
      <c r="G40" s="29" t="s">
        <v>37</v>
      </c>
      <c r="H40" s="29" t="s">
        <v>24</v>
      </c>
      <c r="I40" s="45" t="s">
        <v>600</v>
      </c>
      <c r="J40" s="22" t="s">
        <v>25</v>
      </c>
      <c r="K40" s="46" t="s">
        <v>123</v>
      </c>
      <c r="L40" s="46" t="s">
        <v>44</v>
      </c>
      <c r="M40" s="45" t="s">
        <v>39</v>
      </c>
      <c r="N40" s="3" t="s">
        <v>40</v>
      </c>
      <c r="O40" s="46" t="s">
        <v>87</v>
      </c>
      <c r="P40" s="45" t="s">
        <v>650</v>
      </c>
      <c r="Q40" s="45" t="s">
        <v>50</v>
      </c>
      <c r="R40" s="23" t="s">
        <v>90</v>
      </c>
      <c r="S40" s="30">
        <v>227300</v>
      </c>
      <c r="T40" s="45" t="s">
        <v>42</v>
      </c>
      <c r="U40" s="31">
        <v>0</v>
      </c>
      <c r="V40" s="31">
        <v>-4</v>
      </c>
      <c r="W40" s="32">
        <v>0</v>
      </c>
      <c r="X40" s="33">
        <v>0</v>
      </c>
    </row>
    <row r="41" spans="1:24" x14ac:dyDescent="0.3">
      <c r="A41" s="51" t="s">
        <v>466</v>
      </c>
      <c r="B41" s="45" t="s">
        <v>476</v>
      </c>
      <c r="C41" s="45" t="s">
        <v>483</v>
      </c>
      <c r="D41" s="45" t="s">
        <v>520</v>
      </c>
      <c r="E41" s="45" t="s">
        <v>563</v>
      </c>
      <c r="F41" s="24" t="str">
        <f>HYPERLINK("https://mapwv.gov/flood/map/?wkid=102100&amp;x=-8733518.624910936&amp;y=4755905.141742934&amp;l=13&amp;v=2","FT")</f>
        <v>FT</v>
      </c>
      <c r="G41" s="29" t="s">
        <v>37</v>
      </c>
      <c r="H41" s="29" t="s">
        <v>24</v>
      </c>
      <c r="I41" s="45" t="s">
        <v>601</v>
      </c>
      <c r="J41" s="22" t="s">
        <v>38</v>
      </c>
      <c r="K41" s="46" t="s">
        <v>616</v>
      </c>
      <c r="L41" s="46" t="s">
        <v>55</v>
      </c>
      <c r="M41" s="45" t="s">
        <v>39</v>
      </c>
      <c r="N41" s="3" t="s">
        <v>40</v>
      </c>
      <c r="O41" s="46" t="s">
        <v>88</v>
      </c>
      <c r="P41" s="45" t="s">
        <v>651</v>
      </c>
      <c r="Q41" s="45" t="s">
        <v>41</v>
      </c>
      <c r="R41" s="23" t="s">
        <v>90</v>
      </c>
      <c r="S41" s="30">
        <v>221900</v>
      </c>
      <c r="T41" s="45" t="s">
        <v>42</v>
      </c>
      <c r="U41" s="31">
        <v>0</v>
      </c>
      <c r="V41" s="31">
        <v>-4</v>
      </c>
      <c r="W41" s="32">
        <v>0</v>
      </c>
      <c r="X41" s="33">
        <v>0</v>
      </c>
    </row>
    <row r="42" spans="1:24" x14ac:dyDescent="0.3">
      <c r="A42" s="51" t="s">
        <v>467</v>
      </c>
      <c r="B42" s="45" t="s">
        <v>476</v>
      </c>
      <c r="C42" s="45" t="s">
        <v>226</v>
      </c>
      <c r="D42" s="45" t="s">
        <v>521</v>
      </c>
      <c r="E42" s="45" t="s">
        <v>564</v>
      </c>
      <c r="F42" s="24" t="str">
        <f>HYPERLINK("https://mapwv.gov/flood/map/?wkid=102100&amp;x=-8766730.32822648&amp;y=4773410.062271366&amp;l=13&amp;v=2","FT")</f>
        <v>FT</v>
      </c>
      <c r="G42" s="29" t="s">
        <v>31</v>
      </c>
      <c r="H42" s="29" t="s">
        <v>24</v>
      </c>
      <c r="I42" s="45" t="s">
        <v>602</v>
      </c>
      <c r="J42" s="22" t="s">
        <v>38</v>
      </c>
      <c r="K42" s="46" t="s">
        <v>617</v>
      </c>
      <c r="L42" s="46" t="s">
        <v>55</v>
      </c>
      <c r="M42" s="45" t="s">
        <v>39</v>
      </c>
      <c r="N42" s="3" t="s">
        <v>40</v>
      </c>
      <c r="O42" s="46" t="s">
        <v>88</v>
      </c>
      <c r="P42" s="45" t="s">
        <v>652</v>
      </c>
      <c r="Q42" s="45" t="s">
        <v>50</v>
      </c>
      <c r="R42" s="23" t="s">
        <v>105</v>
      </c>
      <c r="S42" s="30">
        <v>221300</v>
      </c>
      <c r="T42" s="45" t="s">
        <v>42</v>
      </c>
      <c r="U42" s="31">
        <v>14.833923</v>
      </c>
      <c r="V42" s="31">
        <v>11.8339233398437</v>
      </c>
      <c r="W42" s="32">
        <v>0.39833923339843702</v>
      </c>
      <c r="X42" s="33">
        <v>88152.472351074204</v>
      </c>
    </row>
    <row r="43" spans="1:24" x14ac:dyDescent="0.3">
      <c r="A43" s="51" t="s">
        <v>468</v>
      </c>
      <c r="B43" s="45" t="s">
        <v>476</v>
      </c>
      <c r="C43" s="45" t="s">
        <v>488</v>
      </c>
      <c r="D43" s="45" t="s">
        <v>522</v>
      </c>
      <c r="E43" s="45" t="s">
        <v>565</v>
      </c>
      <c r="F43" s="24" t="str">
        <f>HYPERLINK("https://mapwv.gov/flood/map/?wkid=102100&amp;x=-8763099.11281952&amp;y=4747495.156465806&amp;l=13&amp;v=2","FT")</f>
        <v>FT</v>
      </c>
      <c r="G43" s="29" t="s">
        <v>37</v>
      </c>
      <c r="H43" s="29" t="s">
        <v>24</v>
      </c>
      <c r="I43" s="45" t="s">
        <v>603</v>
      </c>
      <c r="J43" s="22" t="s">
        <v>25</v>
      </c>
      <c r="K43" s="46" t="s">
        <v>76</v>
      </c>
      <c r="L43" s="46" t="s">
        <v>44</v>
      </c>
      <c r="M43" s="45" t="s">
        <v>39</v>
      </c>
      <c r="N43" s="3" t="s">
        <v>40</v>
      </c>
      <c r="O43" s="46" t="s">
        <v>87</v>
      </c>
      <c r="P43" s="45" t="s">
        <v>653</v>
      </c>
      <c r="Q43" s="45" t="s">
        <v>50</v>
      </c>
      <c r="R43" s="23" t="s">
        <v>90</v>
      </c>
      <c r="S43" s="30">
        <v>218400</v>
      </c>
      <c r="T43" s="45" t="s">
        <v>30</v>
      </c>
      <c r="U43" s="31">
        <v>0</v>
      </c>
      <c r="V43" s="31">
        <v>-4</v>
      </c>
      <c r="W43" s="32">
        <v>0</v>
      </c>
      <c r="X43" s="33">
        <v>0</v>
      </c>
    </row>
    <row r="44" spans="1:24" x14ac:dyDescent="0.3">
      <c r="A44" s="51" t="s">
        <v>469</v>
      </c>
      <c r="B44" s="45" t="s">
        <v>478</v>
      </c>
      <c r="C44" s="45" t="s">
        <v>489</v>
      </c>
      <c r="D44" s="45" t="s">
        <v>523</v>
      </c>
      <c r="E44" s="45" t="s">
        <v>566</v>
      </c>
      <c r="F44" s="24" t="str">
        <f>HYPERLINK("https://mapwv.gov/flood/map/?wkid=102100&amp;x=-8731502.74570681&amp;y=4764405.8062925255&amp;l=13&amp;v=2","FT")</f>
        <v>FT</v>
      </c>
      <c r="G44" s="29" t="s">
        <v>31</v>
      </c>
      <c r="H44" s="29" t="s">
        <v>24</v>
      </c>
      <c r="I44" s="45" t="s">
        <v>604</v>
      </c>
      <c r="J44" s="22" t="s">
        <v>38</v>
      </c>
      <c r="K44" s="46" t="s">
        <v>618</v>
      </c>
      <c r="L44" s="46" t="s">
        <v>55</v>
      </c>
      <c r="M44" s="45" t="s">
        <v>39</v>
      </c>
      <c r="N44" s="3" t="s">
        <v>40</v>
      </c>
      <c r="O44" s="46" t="s">
        <v>88</v>
      </c>
      <c r="P44" s="45" t="s">
        <v>654</v>
      </c>
      <c r="Q44" s="45" t="s">
        <v>50</v>
      </c>
      <c r="R44" s="23" t="s">
        <v>105</v>
      </c>
      <c r="S44" s="30">
        <v>218400</v>
      </c>
      <c r="T44" s="45" t="s">
        <v>42</v>
      </c>
      <c r="U44" s="31">
        <v>5.1484375</v>
      </c>
      <c r="V44" s="31">
        <v>2.1484375</v>
      </c>
      <c r="W44" s="32">
        <v>0.1459375</v>
      </c>
      <c r="X44" s="33">
        <v>31872.75</v>
      </c>
    </row>
    <row r="45" spans="1:24" x14ac:dyDescent="0.3">
      <c r="A45" s="51" t="s">
        <v>470</v>
      </c>
      <c r="B45" s="45" t="s">
        <v>476</v>
      </c>
      <c r="C45" s="45" t="s">
        <v>226</v>
      </c>
      <c r="D45" s="45" t="s">
        <v>524</v>
      </c>
      <c r="E45" s="45" t="s">
        <v>567</v>
      </c>
      <c r="F45" s="24" t="str">
        <f>HYPERLINK("https://mapwv.gov/flood/map/?wkid=102100&amp;x=-8766897.700754432&amp;y=4773238.256393804&amp;l=13&amp;v=2","FT")</f>
        <v>FT</v>
      </c>
      <c r="G45" s="29" t="s">
        <v>31</v>
      </c>
      <c r="H45" s="29" t="s">
        <v>24</v>
      </c>
      <c r="I45" s="45" t="s">
        <v>605</v>
      </c>
      <c r="J45" s="22" t="s">
        <v>38</v>
      </c>
      <c r="K45" s="46" t="s">
        <v>619</v>
      </c>
      <c r="L45" s="46" t="s">
        <v>26</v>
      </c>
      <c r="M45" s="45" t="s">
        <v>61</v>
      </c>
      <c r="N45" s="3" t="s">
        <v>34</v>
      </c>
      <c r="O45" s="46" t="s">
        <v>88</v>
      </c>
      <c r="P45" s="45" t="s">
        <v>655</v>
      </c>
      <c r="Q45" s="45" t="s">
        <v>29</v>
      </c>
      <c r="R45" s="23" t="s">
        <v>89</v>
      </c>
      <c r="S45" s="30">
        <v>211230</v>
      </c>
      <c r="T45" s="45" t="s">
        <v>30</v>
      </c>
      <c r="U45" s="31">
        <v>13.675841999999999</v>
      </c>
      <c r="V45" s="31">
        <v>12.6758422851562</v>
      </c>
      <c r="W45" s="32">
        <v>0.43703369140624998</v>
      </c>
      <c r="X45" s="33">
        <v>92314.626635742097</v>
      </c>
    </row>
    <row r="46" spans="1:24" x14ac:dyDescent="0.3">
      <c r="A46" s="51" t="s">
        <v>471</v>
      </c>
      <c r="B46" s="45" t="s">
        <v>478</v>
      </c>
      <c r="C46" s="45" t="s">
        <v>483</v>
      </c>
      <c r="D46" s="45" t="s">
        <v>525</v>
      </c>
      <c r="E46" s="45" t="s">
        <v>568</v>
      </c>
      <c r="F46" s="24" t="str">
        <f>HYPERLINK("https://mapwv.gov/flood/map/?wkid=102100&amp;x=-8731170.529050505&amp;y=4764399.234858195&amp;l=13&amp;v=2","FT")</f>
        <v>FT</v>
      </c>
      <c r="G46" s="29" t="s">
        <v>31</v>
      </c>
      <c r="H46" s="29" t="s">
        <v>138</v>
      </c>
      <c r="I46" s="45" t="s">
        <v>606</v>
      </c>
      <c r="J46" s="22" t="s">
        <v>38</v>
      </c>
      <c r="K46" s="46" t="s">
        <v>620</v>
      </c>
      <c r="L46" s="46" t="s">
        <v>51</v>
      </c>
      <c r="M46" s="45" t="s">
        <v>146</v>
      </c>
      <c r="N46" s="3" t="s">
        <v>40</v>
      </c>
      <c r="O46" s="46" t="s">
        <v>88</v>
      </c>
      <c r="P46" s="45" t="s">
        <v>656</v>
      </c>
      <c r="Q46" s="45" t="s">
        <v>29</v>
      </c>
      <c r="R46" s="23" t="s">
        <v>89</v>
      </c>
      <c r="S46" s="30">
        <v>210800</v>
      </c>
      <c r="T46" s="45" t="s">
        <v>42</v>
      </c>
      <c r="U46" s="31">
        <v>1.5462035999999999</v>
      </c>
      <c r="V46" s="31">
        <v>0.54620361328125</v>
      </c>
      <c r="W46" s="32">
        <v>0.15546203613281201</v>
      </c>
      <c r="X46" s="33">
        <v>32771.397216796802</v>
      </c>
    </row>
    <row r="47" spans="1:24" x14ac:dyDescent="0.3">
      <c r="A47" s="51" t="s">
        <v>472</v>
      </c>
      <c r="B47" s="45" t="s">
        <v>476</v>
      </c>
      <c r="C47" s="45" t="s">
        <v>489</v>
      </c>
      <c r="D47" s="45" t="s">
        <v>526</v>
      </c>
      <c r="E47" s="45" t="s">
        <v>569</v>
      </c>
      <c r="F47" s="24" t="str">
        <f>HYPERLINK("https://mapwv.gov/flood/map/?wkid=102100&amp;x=-8735408.637059247&amp;y=4760317.363564951&amp;l=13&amp;v=2","FT")</f>
        <v>FT</v>
      </c>
      <c r="G47" s="29" t="s">
        <v>37</v>
      </c>
      <c r="H47" s="29" t="s">
        <v>24</v>
      </c>
      <c r="I47" s="45" t="s">
        <v>607</v>
      </c>
      <c r="J47" s="22" t="s">
        <v>25</v>
      </c>
      <c r="K47" s="46" t="s">
        <v>123</v>
      </c>
      <c r="L47" s="46" t="s">
        <v>55</v>
      </c>
      <c r="M47" s="45" t="s">
        <v>39</v>
      </c>
      <c r="N47" s="3" t="s">
        <v>40</v>
      </c>
      <c r="O47" s="46" t="s">
        <v>88</v>
      </c>
      <c r="P47" s="45" t="s">
        <v>657</v>
      </c>
      <c r="Q47" s="45" t="s">
        <v>50</v>
      </c>
      <c r="R47" s="23" t="s">
        <v>90</v>
      </c>
      <c r="S47" s="30">
        <v>207000</v>
      </c>
      <c r="T47" s="45" t="s">
        <v>42</v>
      </c>
      <c r="U47" s="31">
        <v>0.92572019999999999</v>
      </c>
      <c r="V47" s="31">
        <v>-3.07427978515625</v>
      </c>
      <c r="W47" s="32">
        <v>0</v>
      </c>
      <c r="X47" s="33">
        <v>0</v>
      </c>
    </row>
    <row r="48" spans="1:24" x14ac:dyDescent="0.3">
      <c r="A48" s="51" t="s">
        <v>473</v>
      </c>
      <c r="B48" s="45" t="s">
        <v>476</v>
      </c>
      <c r="C48" s="45" t="s">
        <v>490</v>
      </c>
      <c r="D48" s="45" t="s">
        <v>527</v>
      </c>
      <c r="E48" s="45" t="s">
        <v>570</v>
      </c>
      <c r="F48" s="24" t="str">
        <f>HYPERLINK("https://mapwv.gov/flood/map/?wkid=102100&amp;x=-8750951.485151475&amp;y=4777217.264719923&amp;l=13&amp;v=2","FT")</f>
        <v>FT</v>
      </c>
      <c r="G48" s="29" t="s">
        <v>37</v>
      </c>
      <c r="H48" s="29" t="s">
        <v>24</v>
      </c>
      <c r="I48" s="45" t="s">
        <v>608</v>
      </c>
      <c r="J48" s="22" t="s">
        <v>25</v>
      </c>
      <c r="K48" s="46" t="s">
        <v>93</v>
      </c>
      <c r="L48" s="46" t="s">
        <v>44</v>
      </c>
      <c r="M48" s="45" t="s">
        <v>39</v>
      </c>
      <c r="N48" s="3" t="s">
        <v>40</v>
      </c>
      <c r="O48" s="46" t="s">
        <v>87</v>
      </c>
      <c r="P48" s="45" t="s">
        <v>658</v>
      </c>
      <c r="Q48" s="45" t="s">
        <v>41</v>
      </c>
      <c r="R48" s="23" t="s">
        <v>90</v>
      </c>
      <c r="S48" s="30">
        <v>203400</v>
      </c>
      <c r="T48" s="45" t="s">
        <v>42</v>
      </c>
      <c r="U48" s="31">
        <v>0</v>
      </c>
      <c r="V48" s="31">
        <v>-4</v>
      </c>
      <c r="W48" s="32">
        <v>0</v>
      </c>
      <c r="X48" s="33">
        <v>0</v>
      </c>
    </row>
    <row r="49" spans="1:24" x14ac:dyDescent="0.3">
      <c r="A49" s="51" t="s">
        <v>474</v>
      </c>
      <c r="B49" s="45" t="s">
        <v>476</v>
      </c>
      <c r="C49" s="45" t="s">
        <v>226</v>
      </c>
      <c r="D49" s="45" t="s">
        <v>528</v>
      </c>
      <c r="E49" s="45" t="s">
        <v>571</v>
      </c>
      <c r="F49" s="24" t="str">
        <f>HYPERLINK("https://mapwv.gov/flood/map/?wkid=102100&amp;x=-8746454.705934415&amp;y=4795294.601381884&amp;l=13&amp;v=2","FT")</f>
        <v>FT</v>
      </c>
      <c r="G49" s="29" t="s">
        <v>31</v>
      </c>
      <c r="H49" s="29" t="s">
        <v>24</v>
      </c>
      <c r="I49" s="45" t="s">
        <v>609</v>
      </c>
      <c r="J49" s="22" t="s">
        <v>25</v>
      </c>
      <c r="K49" s="46" t="s">
        <v>72</v>
      </c>
      <c r="L49" s="46" t="s">
        <v>43</v>
      </c>
      <c r="M49" s="45" t="s">
        <v>39</v>
      </c>
      <c r="N49" s="3" t="s">
        <v>40</v>
      </c>
      <c r="O49" s="46" t="s">
        <v>87</v>
      </c>
      <c r="P49" s="45" t="s">
        <v>659</v>
      </c>
      <c r="Q49" s="45" t="s">
        <v>41</v>
      </c>
      <c r="R49" s="23" t="s">
        <v>90</v>
      </c>
      <c r="S49" s="30">
        <v>203100</v>
      </c>
      <c r="T49" s="45" t="s">
        <v>42</v>
      </c>
      <c r="U49" s="31">
        <v>4.8331299999999997</v>
      </c>
      <c r="V49" s="31">
        <v>0.8331298828125</v>
      </c>
      <c r="W49" s="32">
        <v>0.30998779296875001</v>
      </c>
      <c r="X49" s="33">
        <v>62958.520751953103</v>
      </c>
    </row>
    <row r="50" spans="1:24" x14ac:dyDescent="0.3">
      <c r="A50" s="51" t="s">
        <v>475</v>
      </c>
      <c r="B50" s="45" t="s">
        <v>478</v>
      </c>
      <c r="C50" s="45" t="s">
        <v>483</v>
      </c>
      <c r="D50" s="45" t="s">
        <v>529</v>
      </c>
      <c r="E50" s="45" t="s">
        <v>572</v>
      </c>
      <c r="F50" s="24" t="str">
        <f>HYPERLINK("https://mapwv.gov/flood/map/?wkid=102100&amp;x=-8730692.237956505&amp;y=4764262.304076236&amp;l=13&amp;v=2","FT")</f>
        <v>FT</v>
      </c>
      <c r="G50" s="29" t="s">
        <v>71</v>
      </c>
      <c r="H50" s="29" t="s">
        <v>24</v>
      </c>
      <c r="I50" s="45" t="s">
        <v>610</v>
      </c>
      <c r="J50" s="22" t="s">
        <v>38</v>
      </c>
      <c r="K50" s="46" t="s">
        <v>130</v>
      </c>
      <c r="L50" s="46" t="s">
        <v>26</v>
      </c>
      <c r="M50" s="45" t="s">
        <v>62</v>
      </c>
      <c r="N50" s="3" t="s">
        <v>84</v>
      </c>
      <c r="O50" s="46" t="s">
        <v>87</v>
      </c>
      <c r="P50" s="45" t="s">
        <v>660</v>
      </c>
      <c r="Q50" s="45" t="s">
        <v>29</v>
      </c>
      <c r="R50" s="23" t="s">
        <v>89</v>
      </c>
      <c r="S50" s="30">
        <v>202100</v>
      </c>
      <c r="T50" s="45" t="s">
        <v>42</v>
      </c>
      <c r="U50" s="31">
        <v>0</v>
      </c>
      <c r="V50" s="31">
        <v>-1</v>
      </c>
      <c r="W50" s="32">
        <v>0</v>
      </c>
      <c r="X50" s="33">
        <v>0</v>
      </c>
    </row>
  </sheetData>
  <conditionalFormatting sqref="A8:A50">
    <cfRule type="duplicateValues" dxfId="11" priority="5"/>
    <cfRule type="duplicateValues" dxfId="10" priority="6"/>
  </conditionalFormatting>
  <conditionalFormatting sqref="A7">
    <cfRule type="duplicateValues" dxfId="9" priority="1"/>
    <cfRule type="duplicateValues" dxfId="8" priority="2"/>
  </conditionalFormatting>
  <hyperlinks>
    <hyperlink ref="J3" r:id="rId1" xr:uid="{6AA32050-3D98-4224-AE80-7B1AA754D70F}"/>
    <hyperlink ref="M3" r:id="rId2" xr:uid="{CFFAE34C-4C50-4FF0-9E15-329D5E324B8E}"/>
    <hyperlink ref="Q3" r:id="rId3" xr:uid="{60A6D13A-48D2-4516-8F9B-ED62DDF8C6EC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29263-DEDD-4C39-AFCC-57551F0CEC17}">
  <dimension ref="A1:X43"/>
  <sheetViews>
    <sheetView topLeftCell="E1" workbookViewId="0">
      <pane ySplit="6" topLeftCell="A7" activePane="bottomLeft" state="frozen"/>
      <selection pane="bottomLeft" activeCell="F3" sqref="F3"/>
    </sheetView>
  </sheetViews>
  <sheetFormatPr defaultRowHeight="14.4" x14ac:dyDescent="0.3"/>
  <cols>
    <col min="1" max="1" width="33.88671875" bestFit="1" customWidth="1"/>
    <col min="2" max="2" width="11.44140625" customWidth="1"/>
    <col min="7" max="7" width="10.33203125" customWidth="1"/>
    <col min="13" max="13" width="10.77734375" customWidth="1"/>
    <col min="14" max="14" width="14.21875" bestFit="1" customWidth="1"/>
    <col min="17" max="17" width="10.77734375" customWidth="1"/>
    <col min="19" max="19" width="21.77734375" bestFit="1" customWidth="1"/>
    <col min="24" max="24" width="9.5546875" bestFit="1" customWidth="1"/>
  </cols>
  <sheetData>
    <row r="1" spans="1:24" ht="14.25" customHeight="1" x14ac:dyDescent="0.3">
      <c r="A1" s="4" t="s">
        <v>64</v>
      </c>
      <c r="B1" s="4"/>
      <c r="C1" s="4"/>
      <c r="D1" s="4"/>
      <c r="F1" s="17" t="s">
        <v>65</v>
      </c>
      <c r="G1" s="6"/>
      <c r="H1" s="6"/>
      <c r="J1" s="6"/>
      <c r="K1" s="6"/>
      <c r="L1" s="6"/>
      <c r="N1" s="5" t="s">
        <v>66</v>
      </c>
      <c r="O1" s="6"/>
      <c r="P1" s="6"/>
      <c r="R1" s="6"/>
      <c r="S1" s="7" t="s">
        <v>67</v>
      </c>
      <c r="U1" s="8"/>
      <c r="V1" s="8"/>
      <c r="W1" s="9"/>
      <c r="X1" s="10"/>
    </row>
    <row r="2" spans="1:24" x14ac:dyDescent="0.3">
      <c r="A2" s="11">
        <v>44580</v>
      </c>
      <c r="B2" s="12" t="s">
        <v>68</v>
      </c>
      <c r="F2" s="6"/>
      <c r="G2" s="6"/>
      <c r="H2" s="6"/>
      <c r="J2" s="6"/>
      <c r="K2" s="6"/>
      <c r="L2" s="6"/>
      <c r="N2" s="13" t="s">
        <v>40</v>
      </c>
      <c r="O2" s="6"/>
      <c r="P2" s="6"/>
      <c r="R2" s="6"/>
      <c r="S2" s="39"/>
      <c r="U2" s="8"/>
      <c r="V2" s="8"/>
      <c r="W2" s="9"/>
      <c r="X2" s="10"/>
    </row>
    <row r="3" spans="1:24" x14ac:dyDescent="0.3">
      <c r="A3" t="s">
        <v>70</v>
      </c>
      <c r="B3" s="40" t="s">
        <v>114</v>
      </c>
      <c r="F3" s="6"/>
      <c r="G3" s="6"/>
      <c r="H3" s="6"/>
      <c r="J3" s="16" t="s">
        <v>69</v>
      </c>
      <c r="K3" s="6"/>
      <c r="L3" s="6"/>
      <c r="M3" s="14" t="s">
        <v>69</v>
      </c>
      <c r="N3" s="5"/>
      <c r="O3" s="6"/>
      <c r="P3" s="6"/>
      <c r="Q3" s="14" t="s">
        <v>69</v>
      </c>
      <c r="R3" s="15"/>
      <c r="S3" s="39"/>
      <c r="U3" s="8"/>
      <c r="V3" s="8"/>
      <c r="W3" s="9"/>
      <c r="X3" s="10"/>
    </row>
    <row r="4" spans="1:24" x14ac:dyDescent="0.3">
      <c r="F4" s="6"/>
      <c r="G4" s="6"/>
      <c r="H4" s="6"/>
      <c r="J4" s="6"/>
      <c r="K4" s="6"/>
      <c r="L4" s="6"/>
      <c r="N4" s="5"/>
      <c r="O4" s="6"/>
      <c r="P4" s="6"/>
      <c r="R4" s="6"/>
      <c r="S4" s="39"/>
      <c r="U4" s="8"/>
      <c r="V4" s="8"/>
      <c r="W4" s="9"/>
      <c r="X4" s="10"/>
    </row>
    <row r="5" spans="1:24" x14ac:dyDescent="0.3">
      <c r="A5" s="1" t="s">
        <v>665</v>
      </c>
      <c r="F5" s="6"/>
      <c r="G5" s="6"/>
      <c r="H5" s="6"/>
      <c r="J5" s="6"/>
      <c r="K5" s="6"/>
      <c r="L5" s="6"/>
      <c r="O5" s="6"/>
      <c r="P5" s="6"/>
      <c r="R5" s="6"/>
      <c r="S5" s="34" t="s">
        <v>109</v>
      </c>
      <c r="U5" s="6"/>
      <c r="V5" s="6"/>
      <c r="W5" s="9"/>
      <c r="X5" s="10"/>
    </row>
    <row r="6" spans="1:24" ht="43.2" x14ac:dyDescent="0.3">
      <c r="A6" s="25" t="s">
        <v>0</v>
      </c>
      <c r="B6" s="18" t="s">
        <v>1</v>
      </c>
      <c r="C6" s="18" t="s">
        <v>2</v>
      </c>
      <c r="D6" s="26" t="s">
        <v>3</v>
      </c>
      <c r="E6" s="26" t="s">
        <v>4</v>
      </c>
      <c r="F6" s="18" t="s">
        <v>5</v>
      </c>
      <c r="G6" s="18" t="s">
        <v>6</v>
      </c>
      <c r="H6" s="25" t="s">
        <v>7</v>
      </c>
      <c r="I6" s="18" t="s">
        <v>8</v>
      </c>
      <c r="J6" s="25" t="s">
        <v>9</v>
      </c>
      <c r="K6" s="26" t="s">
        <v>10</v>
      </c>
      <c r="L6" s="18" t="s">
        <v>11</v>
      </c>
      <c r="M6" s="26" t="s">
        <v>12</v>
      </c>
      <c r="N6" s="19" t="s">
        <v>13</v>
      </c>
      <c r="O6" s="26" t="s">
        <v>14</v>
      </c>
      <c r="P6" s="26" t="s">
        <v>15</v>
      </c>
      <c r="Q6" s="26" t="s">
        <v>16</v>
      </c>
      <c r="R6" s="26" t="s">
        <v>17</v>
      </c>
      <c r="S6" s="20" t="s">
        <v>18</v>
      </c>
      <c r="T6" s="18" t="s">
        <v>19</v>
      </c>
      <c r="U6" s="27" t="s">
        <v>20</v>
      </c>
      <c r="V6" s="27" t="s">
        <v>21</v>
      </c>
      <c r="W6" s="28" t="s">
        <v>22</v>
      </c>
      <c r="X6" s="21" t="s">
        <v>23</v>
      </c>
    </row>
    <row r="7" spans="1:24" x14ac:dyDescent="0.3">
      <c r="A7" s="51" t="s">
        <v>666</v>
      </c>
      <c r="B7" s="45" t="s">
        <v>702</v>
      </c>
      <c r="C7" s="2" t="s">
        <v>226</v>
      </c>
      <c r="D7" s="45" t="s">
        <v>711</v>
      </c>
      <c r="E7" s="45" t="s">
        <v>742</v>
      </c>
      <c r="F7" s="24" t="str">
        <f>HYPERLINK("https://mapwv.gov/flood/map/?wkid=102100&amp;x=-8790630.148901405&amp;y=4731556.464228185&amp;l=13&amp;v=2","FT")</f>
        <v>FT</v>
      </c>
      <c r="G7" s="29" t="s">
        <v>71</v>
      </c>
      <c r="H7" s="29" t="s">
        <v>24</v>
      </c>
      <c r="I7" s="45" t="s">
        <v>57</v>
      </c>
      <c r="J7" s="51" t="s">
        <v>25</v>
      </c>
      <c r="K7" s="46" t="s">
        <v>82</v>
      </c>
      <c r="L7" s="46"/>
      <c r="M7" s="51" t="s">
        <v>58</v>
      </c>
      <c r="N7" s="3" t="s">
        <v>83</v>
      </c>
      <c r="O7" s="46" t="s">
        <v>87</v>
      </c>
      <c r="P7" s="45" t="s">
        <v>807</v>
      </c>
      <c r="Q7" s="45" t="s">
        <v>29</v>
      </c>
      <c r="R7" s="29" t="s">
        <v>89</v>
      </c>
      <c r="S7" s="30">
        <v>24177600</v>
      </c>
      <c r="T7" s="45" t="s">
        <v>42</v>
      </c>
      <c r="U7" s="31">
        <v>0</v>
      </c>
      <c r="V7" s="31">
        <v>-1</v>
      </c>
      <c r="W7" s="32">
        <v>0</v>
      </c>
      <c r="X7" s="33">
        <v>0</v>
      </c>
    </row>
    <row r="8" spans="1:24" x14ac:dyDescent="0.3">
      <c r="A8" s="51" t="s">
        <v>667</v>
      </c>
      <c r="B8" s="45" t="s">
        <v>702</v>
      </c>
      <c r="C8" s="2" t="s">
        <v>226</v>
      </c>
      <c r="D8" s="45" t="s">
        <v>712</v>
      </c>
      <c r="E8" s="45" t="s">
        <v>743</v>
      </c>
      <c r="F8" s="24" t="str">
        <f>HYPERLINK("https://mapwv.gov/flood/map/?wkid=102100&amp;x=-8790851.172748495&amp;y=4731493.467269757&amp;l=13&amp;v=2","FT")</f>
        <v>FT</v>
      </c>
      <c r="G8" s="29" t="s">
        <v>71</v>
      </c>
      <c r="H8" s="29" t="s">
        <v>24</v>
      </c>
      <c r="I8" s="45" t="s">
        <v>775</v>
      </c>
      <c r="J8" s="51" t="s">
        <v>38</v>
      </c>
      <c r="K8" s="46" t="s">
        <v>108</v>
      </c>
      <c r="L8" s="46"/>
      <c r="M8" s="51" t="s">
        <v>58</v>
      </c>
      <c r="N8" s="3" t="s">
        <v>83</v>
      </c>
      <c r="O8" s="46" t="s">
        <v>87</v>
      </c>
      <c r="P8" s="45" t="s">
        <v>808</v>
      </c>
      <c r="Q8" s="45" t="s">
        <v>29</v>
      </c>
      <c r="R8" s="29" t="s">
        <v>89</v>
      </c>
      <c r="S8" s="30">
        <v>10800000</v>
      </c>
      <c r="T8" s="45" t="s">
        <v>59</v>
      </c>
      <c r="U8" s="31">
        <v>0</v>
      </c>
      <c r="V8" s="31">
        <v>-1</v>
      </c>
      <c r="W8" s="32">
        <v>0</v>
      </c>
      <c r="X8" s="33">
        <v>0</v>
      </c>
    </row>
    <row r="9" spans="1:24" x14ac:dyDescent="0.3">
      <c r="A9" s="51" t="s">
        <v>668</v>
      </c>
      <c r="B9" s="45" t="s">
        <v>703</v>
      </c>
      <c r="C9" s="2" t="s">
        <v>226</v>
      </c>
      <c r="D9" s="45" t="s">
        <v>713</v>
      </c>
      <c r="E9" s="45" t="s">
        <v>744</v>
      </c>
      <c r="F9" s="24" t="str">
        <f>HYPERLINK("https://mapwv.gov/flood/map/?wkid=102100&amp;x=-8792764.587036766&amp;y=4727814.390694725&amp;l=13&amp;v=2","FT")</f>
        <v>FT</v>
      </c>
      <c r="G9" s="29" t="s">
        <v>37</v>
      </c>
      <c r="H9" s="29" t="s">
        <v>24</v>
      </c>
      <c r="I9" s="45" t="s">
        <v>776</v>
      </c>
      <c r="J9" s="51" t="s">
        <v>25</v>
      </c>
      <c r="K9" s="46" t="s">
        <v>140</v>
      </c>
      <c r="L9" s="46" t="s">
        <v>55</v>
      </c>
      <c r="M9" s="51" t="s">
        <v>33</v>
      </c>
      <c r="N9" s="3" t="s">
        <v>86</v>
      </c>
      <c r="O9" s="46" t="s">
        <v>87</v>
      </c>
      <c r="P9" s="45" t="s">
        <v>809</v>
      </c>
      <c r="Q9" s="45" t="s">
        <v>29</v>
      </c>
      <c r="R9" s="29" t="s">
        <v>89</v>
      </c>
      <c r="S9" s="30">
        <v>5088700</v>
      </c>
      <c r="T9" s="45" t="s">
        <v>30</v>
      </c>
      <c r="U9" s="31">
        <v>0</v>
      </c>
      <c r="V9" s="31">
        <v>-1</v>
      </c>
      <c r="W9" s="32">
        <v>0</v>
      </c>
      <c r="X9" s="33">
        <v>0</v>
      </c>
    </row>
    <row r="10" spans="1:24" x14ac:dyDescent="0.3">
      <c r="A10" s="51" t="s">
        <v>829</v>
      </c>
      <c r="B10" s="45" t="s">
        <v>702</v>
      </c>
      <c r="C10" s="2" t="s">
        <v>710</v>
      </c>
      <c r="D10" s="45" t="s">
        <v>830</v>
      </c>
      <c r="E10" s="45" t="s">
        <v>831</v>
      </c>
      <c r="F10" s="24" t="str">
        <f>HYPERLINK("https://mapwv.gov/flood/map/?wkid=102100&amp;x=-8790240.048558915&amp;y=4728788.723192298&amp;l=13&amp;v=2","FT")</f>
        <v>FT</v>
      </c>
      <c r="G10" s="29" t="s">
        <v>31</v>
      </c>
      <c r="H10" s="29" t="s">
        <v>24</v>
      </c>
      <c r="I10" s="45" t="s">
        <v>787</v>
      </c>
      <c r="J10" s="51" t="s">
        <v>25</v>
      </c>
      <c r="K10" s="46" t="s">
        <v>123</v>
      </c>
      <c r="L10" s="46" t="s">
        <v>51</v>
      </c>
      <c r="M10" s="51" t="s">
        <v>27</v>
      </c>
      <c r="N10" s="3" t="s">
        <v>84</v>
      </c>
      <c r="O10" s="46" t="s">
        <v>87</v>
      </c>
      <c r="P10" s="47">
        <v>14000</v>
      </c>
      <c r="Q10" s="45" t="s">
        <v>29</v>
      </c>
      <c r="R10" s="29" t="s">
        <v>89</v>
      </c>
      <c r="S10" s="30">
        <v>4200000</v>
      </c>
      <c r="T10" s="45" t="s">
        <v>28</v>
      </c>
      <c r="U10" s="31">
        <v>1.0361937999999999</v>
      </c>
      <c r="V10" s="31">
        <v>3.619384765625E-2</v>
      </c>
      <c r="W10" s="32">
        <v>1.8096923828124999E-3</v>
      </c>
      <c r="X10" s="33">
        <v>7600.7080078125</v>
      </c>
    </row>
    <row r="11" spans="1:24" x14ac:dyDescent="0.3">
      <c r="A11" s="51" t="s">
        <v>669</v>
      </c>
      <c r="B11" s="45" t="s">
        <v>703</v>
      </c>
      <c r="C11" s="2" t="s">
        <v>704</v>
      </c>
      <c r="D11" s="45" t="s">
        <v>714</v>
      </c>
      <c r="E11" s="45" t="s">
        <v>745</v>
      </c>
      <c r="F11" s="24" t="str">
        <f>HYPERLINK("https://mapwv.gov/flood/map/?wkid=102100&amp;x=-8771637.374981588&amp;y=4728083.271571801&amp;l=13&amp;v=2","FT")</f>
        <v>FT</v>
      </c>
      <c r="G11" s="29" t="s">
        <v>37</v>
      </c>
      <c r="H11" s="29" t="s">
        <v>24</v>
      </c>
      <c r="I11" s="45" t="s">
        <v>777</v>
      </c>
      <c r="J11" s="51" t="s">
        <v>35</v>
      </c>
      <c r="K11" s="46" t="s">
        <v>74</v>
      </c>
      <c r="L11" s="46"/>
      <c r="M11" s="51" t="s">
        <v>54</v>
      </c>
      <c r="N11" s="3" t="s">
        <v>34</v>
      </c>
      <c r="O11" s="46" t="s">
        <v>87</v>
      </c>
      <c r="P11" s="45" t="s">
        <v>810</v>
      </c>
      <c r="Q11" s="45" t="s">
        <v>29</v>
      </c>
      <c r="R11" s="29" t="s">
        <v>89</v>
      </c>
      <c r="S11" s="30">
        <v>3681000</v>
      </c>
      <c r="T11" s="45" t="s">
        <v>42</v>
      </c>
      <c r="U11" s="31">
        <v>0</v>
      </c>
      <c r="V11" s="31">
        <v>-1</v>
      </c>
      <c r="W11" s="32">
        <v>0</v>
      </c>
      <c r="X11" s="33">
        <v>0</v>
      </c>
    </row>
    <row r="12" spans="1:24" x14ac:dyDescent="0.3">
      <c r="A12" s="51" t="s">
        <v>670</v>
      </c>
      <c r="B12" s="45" t="s">
        <v>702</v>
      </c>
      <c r="C12" s="2" t="s">
        <v>226</v>
      </c>
      <c r="D12" s="45" t="s">
        <v>715</v>
      </c>
      <c r="E12" s="45" t="s">
        <v>746</v>
      </c>
      <c r="F12" s="24" t="str">
        <f>HYPERLINK("https://mapwv.gov/flood/map/?wkid=102100&amp;x=-8789657.537152007&amp;y=4733816.010744486&amp;l=13&amp;v=2","FT")</f>
        <v>FT</v>
      </c>
      <c r="G12" s="29" t="s">
        <v>31</v>
      </c>
      <c r="H12" s="29" t="s">
        <v>24</v>
      </c>
      <c r="I12" s="45" t="s">
        <v>778</v>
      </c>
      <c r="J12" s="51" t="s">
        <v>25</v>
      </c>
      <c r="K12" s="46" t="s">
        <v>106</v>
      </c>
      <c r="L12" s="46" t="s">
        <v>26</v>
      </c>
      <c r="M12" s="51" t="s">
        <v>45</v>
      </c>
      <c r="N12" s="3" t="s">
        <v>34</v>
      </c>
      <c r="O12" s="46" t="s">
        <v>87</v>
      </c>
      <c r="P12" s="45" t="s">
        <v>811</v>
      </c>
      <c r="Q12" s="45" t="s">
        <v>29</v>
      </c>
      <c r="R12" s="29" t="s">
        <v>89</v>
      </c>
      <c r="S12" s="30">
        <v>3299200</v>
      </c>
      <c r="T12" s="45" t="s">
        <v>42</v>
      </c>
      <c r="U12" s="31">
        <v>0</v>
      </c>
      <c r="V12" s="31">
        <v>-1</v>
      </c>
      <c r="W12" s="32">
        <v>0</v>
      </c>
      <c r="X12" s="33">
        <v>0</v>
      </c>
    </row>
    <row r="13" spans="1:24" x14ac:dyDescent="0.3">
      <c r="A13" s="51" t="s">
        <v>671</v>
      </c>
      <c r="B13" s="45" t="s">
        <v>702</v>
      </c>
      <c r="C13" s="2" t="s">
        <v>226</v>
      </c>
      <c r="D13" s="45" t="s">
        <v>716</v>
      </c>
      <c r="E13" s="45" t="s">
        <v>747</v>
      </c>
      <c r="F13" s="24" t="str">
        <f>HYPERLINK("https://mapwv.gov/flood/map/?wkid=102100&amp;x=-8790904.876721762&amp;y=4731252.851856602&amp;l=13&amp;v=2","FT")</f>
        <v>FT</v>
      </c>
      <c r="G13" s="29" t="s">
        <v>31</v>
      </c>
      <c r="H13" s="29" t="s">
        <v>24</v>
      </c>
      <c r="I13" s="45" t="s">
        <v>779</v>
      </c>
      <c r="J13" s="51" t="s">
        <v>25</v>
      </c>
      <c r="K13" s="46" t="s">
        <v>121</v>
      </c>
      <c r="L13" s="46" t="s">
        <v>156</v>
      </c>
      <c r="M13" s="51" t="s">
        <v>147</v>
      </c>
      <c r="N13" s="3" t="s">
        <v>34</v>
      </c>
      <c r="O13" s="46" t="s">
        <v>148</v>
      </c>
      <c r="P13" s="45" t="s">
        <v>812</v>
      </c>
      <c r="Q13" s="45" t="s">
        <v>29</v>
      </c>
      <c r="R13" s="29" t="s">
        <v>89</v>
      </c>
      <c r="S13" s="30">
        <v>3199300</v>
      </c>
      <c r="T13" s="45" t="s">
        <v>42</v>
      </c>
      <c r="U13" s="31">
        <v>2.5874022999999999</v>
      </c>
      <c r="V13" s="31">
        <v>1.58740234375</v>
      </c>
      <c r="W13" s="32">
        <v>0.11</v>
      </c>
      <c r="X13" s="33">
        <v>351923</v>
      </c>
    </row>
    <row r="14" spans="1:24" x14ac:dyDescent="0.3">
      <c r="A14" s="51" t="s">
        <v>672</v>
      </c>
      <c r="B14" s="45" t="s">
        <v>702</v>
      </c>
      <c r="C14" s="2" t="s">
        <v>226</v>
      </c>
      <c r="D14" s="45" t="s">
        <v>717</v>
      </c>
      <c r="E14" s="45" t="s">
        <v>748</v>
      </c>
      <c r="F14" s="24" t="str">
        <f>HYPERLINK("https://mapwv.gov/flood/map/?wkid=102100&amp;x=-8790113.592066398&amp;y=4733542.023303818&amp;l=13&amp;v=2","FT")</f>
        <v>FT</v>
      </c>
      <c r="G14" s="29" t="s">
        <v>31</v>
      </c>
      <c r="H14" s="29" t="s">
        <v>24</v>
      </c>
      <c r="I14" s="45" t="s">
        <v>780</v>
      </c>
      <c r="J14" s="51" t="s">
        <v>25</v>
      </c>
      <c r="K14" s="46" t="s">
        <v>95</v>
      </c>
      <c r="L14" s="46" t="s">
        <v>37</v>
      </c>
      <c r="M14" s="51" t="s">
        <v>60</v>
      </c>
      <c r="N14" s="3" t="s">
        <v>40</v>
      </c>
      <c r="O14" s="46" t="s">
        <v>87</v>
      </c>
      <c r="P14" s="45" t="s">
        <v>813</v>
      </c>
      <c r="Q14" s="45" t="s">
        <v>29</v>
      </c>
      <c r="R14" s="29" t="s">
        <v>89</v>
      </c>
      <c r="S14" s="30">
        <v>2994900</v>
      </c>
      <c r="T14" s="45" t="s">
        <v>42</v>
      </c>
      <c r="U14" s="31">
        <v>0</v>
      </c>
      <c r="V14" s="31">
        <v>-1</v>
      </c>
      <c r="W14" s="32">
        <v>0</v>
      </c>
      <c r="X14" s="33">
        <v>0</v>
      </c>
    </row>
    <row r="15" spans="1:24" x14ac:dyDescent="0.3">
      <c r="A15" s="51" t="s">
        <v>673</v>
      </c>
      <c r="B15" s="45" t="s">
        <v>703</v>
      </c>
      <c r="C15" s="2" t="s">
        <v>226</v>
      </c>
      <c r="D15" s="45" t="s">
        <v>718</v>
      </c>
      <c r="E15" s="45" t="s">
        <v>749</v>
      </c>
      <c r="F15" s="24" t="str">
        <f>HYPERLINK("https://mapwv.gov/flood/map/?wkid=102100&amp;x=-8792488.534514468&amp;y=4728073.9512622375&amp;l=13&amp;v=2","FT")</f>
        <v>FT</v>
      </c>
      <c r="G15" s="29" t="s">
        <v>37</v>
      </c>
      <c r="H15" s="29" t="s">
        <v>24</v>
      </c>
      <c r="I15" s="45" t="s">
        <v>781</v>
      </c>
      <c r="J15" s="51" t="s">
        <v>38</v>
      </c>
      <c r="K15" s="46" t="s">
        <v>75</v>
      </c>
      <c r="L15" s="46" t="s">
        <v>26</v>
      </c>
      <c r="M15" s="51" t="s">
        <v>33</v>
      </c>
      <c r="N15" s="3" t="s">
        <v>86</v>
      </c>
      <c r="O15" s="46" t="s">
        <v>87</v>
      </c>
      <c r="P15" s="45" t="s">
        <v>814</v>
      </c>
      <c r="Q15" s="45" t="s">
        <v>29</v>
      </c>
      <c r="R15" s="29" t="s">
        <v>89</v>
      </c>
      <c r="S15" s="30">
        <v>1607000</v>
      </c>
      <c r="T15" s="45" t="s">
        <v>42</v>
      </c>
      <c r="U15" s="31">
        <v>0</v>
      </c>
      <c r="V15" s="31">
        <v>-1</v>
      </c>
      <c r="W15" s="32">
        <v>0</v>
      </c>
      <c r="X15" s="33">
        <v>0</v>
      </c>
    </row>
    <row r="16" spans="1:24" x14ac:dyDescent="0.3">
      <c r="A16" s="51" t="s">
        <v>674</v>
      </c>
      <c r="B16" s="45" t="s">
        <v>702</v>
      </c>
      <c r="C16" s="2" t="s">
        <v>226</v>
      </c>
      <c r="D16" s="45" t="s">
        <v>719</v>
      </c>
      <c r="E16" s="45" t="s">
        <v>750</v>
      </c>
      <c r="F16" s="24" t="str">
        <f>HYPERLINK("https://mapwv.gov/flood/map/?wkid=102100&amp;x=-8790908.487814723&amp;y=4731347.521119816&amp;l=13&amp;v=2","FT")</f>
        <v>FT</v>
      </c>
      <c r="G16" s="29" t="s">
        <v>31</v>
      </c>
      <c r="H16" s="29" t="s">
        <v>24</v>
      </c>
      <c r="I16" s="45" t="s">
        <v>782</v>
      </c>
      <c r="J16" s="51" t="s">
        <v>25</v>
      </c>
      <c r="K16" s="46" t="s">
        <v>82</v>
      </c>
      <c r="L16" s="46" t="s">
        <v>55</v>
      </c>
      <c r="M16" s="51" t="s">
        <v>147</v>
      </c>
      <c r="N16" s="3" t="s">
        <v>34</v>
      </c>
      <c r="O16" s="46" t="s">
        <v>87</v>
      </c>
      <c r="P16" s="45" t="s">
        <v>815</v>
      </c>
      <c r="Q16" s="45" t="s">
        <v>29</v>
      </c>
      <c r="R16" s="29" t="s">
        <v>89</v>
      </c>
      <c r="S16" s="30">
        <v>827700</v>
      </c>
      <c r="T16" s="45" t="s">
        <v>42</v>
      </c>
      <c r="U16" s="31">
        <v>2.9519652999999999</v>
      </c>
      <c r="V16" s="31">
        <v>1.95196533203125</v>
      </c>
      <c r="W16" s="32">
        <v>0.11</v>
      </c>
      <c r="X16" s="33">
        <v>91047</v>
      </c>
    </row>
    <row r="17" spans="1:24" x14ac:dyDescent="0.3">
      <c r="A17" s="51" t="s">
        <v>675</v>
      </c>
      <c r="B17" s="45" t="s">
        <v>703</v>
      </c>
      <c r="C17" s="2" t="s">
        <v>705</v>
      </c>
      <c r="D17" s="45" t="s">
        <v>720</v>
      </c>
      <c r="E17" s="45" t="s">
        <v>751</v>
      </c>
      <c r="F17" s="24" t="str">
        <f>HYPERLINK("https://mapwv.gov/flood/map/?wkid=102100&amp;x=-8779221.31373943&amp;y=4703818.310365346&amp;l=13&amp;v=2","FT")</f>
        <v>FT</v>
      </c>
      <c r="G17" s="29" t="s">
        <v>37</v>
      </c>
      <c r="H17" s="29" t="s">
        <v>24</v>
      </c>
      <c r="I17" s="45" t="s">
        <v>783</v>
      </c>
      <c r="J17" s="51" t="s">
        <v>38</v>
      </c>
      <c r="K17" s="46" t="s">
        <v>162</v>
      </c>
      <c r="L17" s="46" t="s">
        <v>26</v>
      </c>
      <c r="M17" s="51" t="s">
        <v>56</v>
      </c>
      <c r="N17" s="3" t="s">
        <v>85</v>
      </c>
      <c r="O17" s="46" t="s">
        <v>87</v>
      </c>
      <c r="P17" s="45" t="s">
        <v>816</v>
      </c>
      <c r="Q17" s="45" t="s">
        <v>29</v>
      </c>
      <c r="R17" s="29" t="s">
        <v>89</v>
      </c>
      <c r="S17" s="30">
        <v>751700</v>
      </c>
      <c r="T17" s="45" t="s">
        <v>42</v>
      </c>
      <c r="U17" s="31">
        <v>0</v>
      </c>
      <c r="V17" s="31">
        <v>-1</v>
      </c>
      <c r="W17" s="32">
        <v>0</v>
      </c>
      <c r="X17" s="33">
        <v>0</v>
      </c>
    </row>
    <row r="18" spans="1:24" x14ac:dyDescent="0.3">
      <c r="A18" s="51" t="s">
        <v>676</v>
      </c>
      <c r="B18" s="45" t="s">
        <v>702</v>
      </c>
      <c r="C18" s="2" t="s">
        <v>226</v>
      </c>
      <c r="D18" s="45" t="s">
        <v>721</v>
      </c>
      <c r="E18" s="45" t="s">
        <v>752</v>
      </c>
      <c r="F18" s="24" t="str">
        <f>HYPERLINK("https://mapwv.gov/flood/map/?wkid=102100&amp;x=-8791577.76319123&amp;y=4729718.613045638&amp;l=13&amp;v=2","FT")</f>
        <v>FT</v>
      </c>
      <c r="G18" s="29" t="s">
        <v>31</v>
      </c>
      <c r="H18" s="29" t="s">
        <v>24</v>
      </c>
      <c r="I18" s="45" t="s">
        <v>784</v>
      </c>
      <c r="J18" s="51" t="s">
        <v>25</v>
      </c>
      <c r="K18" s="46" t="s">
        <v>82</v>
      </c>
      <c r="L18" s="46" t="s">
        <v>51</v>
      </c>
      <c r="M18" s="51" t="s">
        <v>33</v>
      </c>
      <c r="N18" s="3" t="s">
        <v>86</v>
      </c>
      <c r="O18" s="46" t="s">
        <v>88</v>
      </c>
      <c r="P18" s="45" t="s">
        <v>817</v>
      </c>
      <c r="Q18" s="45" t="s">
        <v>29</v>
      </c>
      <c r="R18" s="29" t="s">
        <v>89</v>
      </c>
      <c r="S18" s="30">
        <v>616300</v>
      </c>
      <c r="T18" s="45" t="s">
        <v>30</v>
      </c>
      <c r="U18" s="31">
        <v>4.6543580000000002</v>
      </c>
      <c r="V18" s="31">
        <v>3.65435791015625</v>
      </c>
      <c r="W18" s="32">
        <v>0.202717895507812</v>
      </c>
      <c r="X18" s="33">
        <v>124935.039001464</v>
      </c>
    </row>
    <row r="19" spans="1:24" x14ac:dyDescent="0.3">
      <c r="A19" s="51" t="s">
        <v>677</v>
      </c>
      <c r="B19" s="45" t="s">
        <v>702</v>
      </c>
      <c r="C19" s="2" t="s">
        <v>226</v>
      </c>
      <c r="D19" s="45" t="s">
        <v>722</v>
      </c>
      <c r="E19" s="45" t="s">
        <v>753</v>
      </c>
      <c r="F19" s="24" t="str">
        <f>HYPERLINK("https://mapwv.gov/flood/map/?wkid=102100&amp;x=-8789578.581465453&amp;y=4733482.445749294&amp;l=13&amp;v=2","FT")</f>
        <v>FT</v>
      </c>
      <c r="G19" s="29" t="s">
        <v>31</v>
      </c>
      <c r="H19" s="29" t="s">
        <v>24</v>
      </c>
      <c r="I19" s="45" t="s">
        <v>785</v>
      </c>
      <c r="J19" s="51" t="s">
        <v>25</v>
      </c>
      <c r="K19" s="46" t="s">
        <v>127</v>
      </c>
      <c r="L19" s="46" t="s">
        <v>37</v>
      </c>
      <c r="M19" s="51" t="s">
        <v>49</v>
      </c>
      <c r="N19" s="3" t="s">
        <v>34</v>
      </c>
      <c r="O19" s="46" t="s">
        <v>87</v>
      </c>
      <c r="P19" s="45" t="s">
        <v>818</v>
      </c>
      <c r="Q19" s="45" t="s">
        <v>29</v>
      </c>
      <c r="R19" s="29" t="s">
        <v>89</v>
      </c>
      <c r="S19" s="30">
        <v>566800</v>
      </c>
      <c r="T19" s="45" t="s">
        <v>42</v>
      </c>
      <c r="U19" s="31">
        <v>0</v>
      </c>
      <c r="V19" s="31">
        <v>-1</v>
      </c>
      <c r="W19" s="32">
        <v>0</v>
      </c>
      <c r="X19" s="33">
        <v>0</v>
      </c>
    </row>
    <row r="20" spans="1:24" x14ac:dyDescent="0.3">
      <c r="A20" s="51" t="s">
        <v>678</v>
      </c>
      <c r="B20" s="45" t="s">
        <v>702</v>
      </c>
      <c r="C20" s="2" t="s">
        <v>226</v>
      </c>
      <c r="D20" s="45" t="s">
        <v>723</v>
      </c>
      <c r="E20" s="45" t="s">
        <v>754</v>
      </c>
      <c r="F20" s="24" t="str">
        <f>HYPERLINK("https://mapwv.gov/flood/map/?wkid=102100&amp;x=-8790478.515613614&amp;y=4732958.591306269&amp;l=13&amp;v=2","FT")</f>
        <v>FT</v>
      </c>
      <c r="G20" s="29" t="s">
        <v>31</v>
      </c>
      <c r="H20" s="29" t="s">
        <v>24</v>
      </c>
      <c r="I20" s="45" t="s">
        <v>786</v>
      </c>
      <c r="J20" s="51" t="s">
        <v>25</v>
      </c>
      <c r="K20" s="46" t="s">
        <v>127</v>
      </c>
      <c r="L20" s="46" t="s">
        <v>51</v>
      </c>
      <c r="M20" s="51" t="s">
        <v>45</v>
      </c>
      <c r="N20" s="3" t="s">
        <v>34</v>
      </c>
      <c r="O20" s="46" t="s">
        <v>88</v>
      </c>
      <c r="P20" s="45" t="s">
        <v>819</v>
      </c>
      <c r="Q20" s="45" t="s">
        <v>29</v>
      </c>
      <c r="R20" s="29" t="s">
        <v>89</v>
      </c>
      <c r="S20" s="30">
        <v>527400</v>
      </c>
      <c r="T20" s="45" t="s">
        <v>42</v>
      </c>
      <c r="U20" s="31">
        <v>1</v>
      </c>
      <c r="V20" s="31">
        <v>0</v>
      </c>
      <c r="W20" s="32">
        <v>0.01</v>
      </c>
      <c r="X20" s="33">
        <v>5274</v>
      </c>
    </row>
    <row r="21" spans="1:24" x14ac:dyDescent="0.3">
      <c r="A21" s="51" t="s">
        <v>679</v>
      </c>
      <c r="B21" s="45" t="s">
        <v>702</v>
      </c>
      <c r="C21" s="2" t="s">
        <v>226</v>
      </c>
      <c r="D21" s="45" t="s">
        <v>724</v>
      </c>
      <c r="E21" s="45" t="s">
        <v>754</v>
      </c>
      <c r="F21" s="24" t="str">
        <f>HYPERLINK("https://mapwv.gov/flood/map/?wkid=102100&amp;x=-8790468.570330309&amp;y=4733078.792743468&amp;l=13&amp;v=2","FT")</f>
        <v>FT</v>
      </c>
      <c r="G21" s="29" t="s">
        <v>31</v>
      </c>
      <c r="H21" s="29" t="s">
        <v>24</v>
      </c>
      <c r="I21" s="45" t="s">
        <v>786</v>
      </c>
      <c r="J21" s="51" t="s">
        <v>25</v>
      </c>
      <c r="K21" s="46" t="s">
        <v>127</v>
      </c>
      <c r="L21" s="46" t="s">
        <v>51</v>
      </c>
      <c r="M21" s="51" t="s">
        <v>45</v>
      </c>
      <c r="N21" s="3" t="s">
        <v>34</v>
      </c>
      <c r="O21" s="46" t="s">
        <v>88</v>
      </c>
      <c r="P21" s="45" t="s">
        <v>819</v>
      </c>
      <c r="Q21" s="45" t="s">
        <v>29</v>
      </c>
      <c r="R21" s="29" t="s">
        <v>89</v>
      </c>
      <c r="S21" s="30">
        <v>526000</v>
      </c>
      <c r="T21" s="45" t="s">
        <v>42</v>
      </c>
      <c r="U21" s="31">
        <v>0</v>
      </c>
      <c r="V21" s="31">
        <v>-1</v>
      </c>
      <c r="W21" s="32">
        <v>0</v>
      </c>
      <c r="X21" s="33">
        <v>0</v>
      </c>
    </row>
    <row r="22" spans="1:24" x14ac:dyDescent="0.3">
      <c r="A22" s="51" t="s">
        <v>680</v>
      </c>
      <c r="B22" s="45" t="s">
        <v>702</v>
      </c>
      <c r="C22" s="2" t="s">
        <v>226</v>
      </c>
      <c r="D22" s="45" t="s">
        <v>725</v>
      </c>
      <c r="E22" s="45" t="s">
        <v>755</v>
      </c>
      <c r="F22" s="24" t="str">
        <f>HYPERLINK("https://mapwv.gov/flood/map/?wkid=102100&amp;x=-8790930.584399685&amp;y=4731716.089162847&amp;l=13&amp;v=2","FT")</f>
        <v>FT</v>
      </c>
      <c r="G22" s="29" t="s">
        <v>31</v>
      </c>
      <c r="H22" s="29" t="s">
        <v>24</v>
      </c>
      <c r="I22" s="45" t="s">
        <v>787</v>
      </c>
      <c r="J22" s="51" t="s">
        <v>35</v>
      </c>
      <c r="K22" s="46" t="s">
        <v>74</v>
      </c>
      <c r="L22" s="46"/>
      <c r="M22" s="51" t="s">
        <v>27</v>
      </c>
      <c r="N22" s="3" t="s">
        <v>84</v>
      </c>
      <c r="O22" s="46" t="s">
        <v>87</v>
      </c>
      <c r="P22" s="45" t="s">
        <v>160</v>
      </c>
      <c r="Q22" s="45" t="s">
        <v>29</v>
      </c>
      <c r="R22" s="29" t="s">
        <v>89</v>
      </c>
      <c r="S22" s="30">
        <v>519300</v>
      </c>
      <c r="T22" s="45" t="s">
        <v>42</v>
      </c>
      <c r="U22" s="31">
        <v>0</v>
      </c>
      <c r="V22" s="31">
        <v>-1</v>
      </c>
      <c r="W22" s="32">
        <v>0</v>
      </c>
      <c r="X22" s="33">
        <v>0</v>
      </c>
    </row>
    <row r="23" spans="1:24" x14ac:dyDescent="0.3">
      <c r="A23" s="51" t="s">
        <v>681</v>
      </c>
      <c r="B23" s="45" t="s">
        <v>702</v>
      </c>
      <c r="C23" s="2" t="s">
        <v>226</v>
      </c>
      <c r="D23" s="45" t="s">
        <v>726</v>
      </c>
      <c r="E23" s="45" t="s">
        <v>754</v>
      </c>
      <c r="F23" s="24" t="str">
        <f>HYPERLINK("https://mapwv.gov/flood/map/?wkid=102100&amp;x=-8790473.282929631&amp;y=4733019.434597153&amp;l=13&amp;v=2","FT")</f>
        <v>FT</v>
      </c>
      <c r="G23" s="29" t="s">
        <v>31</v>
      </c>
      <c r="H23" s="29" t="s">
        <v>24</v>
      </c>
      <c r="I23" s="45" t="s">
        <v>786</v>
      </c>
      <c r="J23" s="51" t="s">
        <v>25</v>
      </c>
      <c r="K23" s="46" t="s">
        <v>127</v>
      </c>
      <c r="L23" s="46" t="s">
        <v>32</v>
      </c>
      <c r="M23" s="51" t="s">
        <v>45</v>
      </c>
      <c r="N23" s="3" t="s">
        <v>34</v>
      </c>
      <c r="O23" s="46" t="s">
        <v>88</v>
      </c>
      <c r="P23" s="45" t="s">
        <v>819</v>
      </c>
      <c r="Q23" s="45" t="s">
        <v>29</v>
      </c>
      <c r="R23" s="29" t="s">
        <v>89</v>
      </c>
      <c r="S23" s="30">
        <v>488200</v>
      </c>
      <c r="T23" s="45" t="s">
        <v>42</v>
      </c>
      <c r="U23" s="31">
        <v>0</v>
      </c>
      <c r="V23" s="31">
        <v>-1</v>
      </c>
      <c r="W23" s="32">
        <v>0</v>
      </c>
      <c r="X23" s="33">
        <v>0</v>
      </c>
    </row>
    <row r="24" spans="1:24" x14ac:dyDescent="0.3">
      <c r="A24" s="51" t="s">
        <v>682</v>
      </c>
      <c r="B24" s="45" t="s">
        <v>702</v>
      </c>
      <c r="C24" s="2" t="s">
        <v>226</v>
      </c>
      <c r="D24" s="45" t="s">
        <v>727</v>
      </c>
      <c r="E24" s="45" t="s">
        <v>756</v>
      </c>
      <c r="F24" s="24" t="str">
        <f>HYPERLINK("https://mapwv.gov/flood/map/?wkid=102100&amp;x=-8789545.32610341&amp;y=4733556.695677427&amp;l=13&amp;v=2","FT")</f>
        <v>FT</v>
      </c>
      <c r="G24" s="29" t="s">
        <v>31</v>
      </c>
      <c r="H24" s="29" t="s">
        <v>24</v>
      </c>
      <c r="I24" s="45" t="s">
        <v>788</v>
      </c>
      <c r="J24" s="51" t="s">
        <v>25</v>
      </c>
      <c r="K24" s="46" t="s">
        <v>95</v>
      </c>
      <c r="L24" s="46" t="s">
        <v>43</v>
      </c>
      <c r="M24" s="51" t="s">
        <v>806</v>
      </c>
      <c r="N24" s="3" t="s">
        <v>34</v>
      </c>
      <c r="O24" s="46" t="s">
        <v>87</v>
      </c>
      <c r="P24" s="45" t="s">
        <v>820</v>
      </c>
      <c r="Q24" s="45" t="s">
        <v>29</v>
      </c>
      <c r="R24" s="29" t="s">
        <v>89</v>
      </c>
      <c r="S24" s="30">
        <v>482700</v>
      </c>
      <c r="T24" s="45" t="s">
        <v>42</v>
      </c>
      <c r="U24" s="31">
        <v>0</v>
      </c>
      <c r="V24" s="31">
        <v>-1</v>
      </c>
      <c r="W24" s="32">
        <v>0</v>
      </c>
      <c r="X24" s="33">
        <v>0</v>
      </c>
    </row>
    <row r="25" spans="1:24" x14ac:dyDescent="0.3">
      <c r="A25" s="51" t="s">
        <v>683</v>
      </c>
      <c r="B25" s="45" t="s">
        <v>702</v>
      </c>
      <c r="C25" s="2" t="s">
        <v>226</v>
      </c>
      <c r="D25" s="45" t="s">
        <v>728</v>
      </c>
      <c r="E25" s="45" t="s">
        <v>757</v>
      </c>
      <c r="F25" s="24" t="str">
        <f>HYPERLINK("https://mapwv.gov/flood/map/?wkid=102100&amp;x=-8790128.198630748&amp;y=4733652.8748173&amp;l=13&amp;v=2","FT")</f>
        <v>FT</v>
      </c>
      <c r="G25" s="29" t="s">
        <v>31</v>
      </c>
      <c r="H25" s="29" t="s">
        <v>24</v>
      </c>
      <c r="I25" s="45" t="s">
        <v>789</v>
      </c>
      <c r="J25" s="51" t="s">
        <v>25</v>
      </c>
      <c r="K25" s="46" t="s">
        <v>82</v>
      </c>
      <c r="L25" s="46" t="s">
        <v>44</v>
      </c>
      <c r="M25" s="51" t="s">
        <v>49</v>
      </c>
      <c r="N25" s="3" t="s">
        <v>34</v>
      </c>
      <c r="O25" s="46" t="s">
        <v>87</v>
      </c>
      <c r="P25" s="45" t="s">
        <v>647</v>
      </c>
      <c r="Q25" s="45" t="s">
        <v>29</v>
      </c>
      <c r="R25" s="29" t="s">
        <v>89</v>
      </c>
      <c r="S25" s="30">
        <v>430700</v>
      </c>
      <c r="T25" s="45" t="s">
        <v>42</v>
      </c>
      <c r="U25" s="31">
        <v>0</v>
      </c>
      <c r="V25" s="31">
        <v>-1</v>
      </c>
      <c r="W25" s="32">
        <v>0</v>
      </c>
      <c r="X25" s="33">
        <v>0</v>
      </c>
    </row>
    <row r="26" spans="1:24" x14ac:dyDescent="0.3">
      <c r="A26" s="51" t="s">
        <v>684</v>
      </c>
      <c r="B26" s="45" t="s">
        <v>703</v>
      </c>
      <c r="C26" s="2" t="s">
        <v>706</v>
      </c>
      <c r="D26" s="45" t="s">
        <v>729</v>
      </c>
      <c r="E26" s="45" t="s">
        <v>758</v>
      </c>
      <c r="F26" s="24" t="str">
        <f>HYPERLINK("https://mapwv.gov/flood/map/?wkid=102100&amp;x=-8791066.450172158&amp;y=4735367.014640262&amp;l=13&amp;v=2","FT")</f>
        <v>FT</v>
      </c>
      <c r="G26" s="29" t="s">
        <v>37</v>
      </c>
      <c r="H26" s="29" t="s">
        <v>24</v>
      </c>
      <c r="I26" s="45" t="s">
        <v>790</v>
      </c>
      <c r="J26" s="51" t="s">
        <v>25</v>
      </c>
      <c r="K26" s="46" t="s">
        <v>101</v>
      </c>
      <c r="L26" s="46" t="s">
        <v>48</v>
      </c>
      <c r="M26" s="51" t="s">
        <v>39</v>
      </c>
      <c r="N26" s="3" t="s">
        <v>40</v>
      </c>
      <c r="O26" s="46" t="s">
        <v>87</v>
      </c>
      <c r="P26" s="45" t="s">
        <v>821</v>
      </c>
      <c r="Q26" s="45" t="s">
        <v>41</v>
      </c>
      <c r="R26" s="29" t="s">
        <v>90</v>
      </c>
      <c r="S26" s="30">
        <v>421600</v>
      </c>
      <c r="T26" s="45" t="s">
        <v>42</v>
      </c>
      <c r="U26" s="31">
        <v>0</v>
      </c>
      <c r="V26" s="31">
        <v>-4</v>
      </c>
      <c r="W26" s="32">
        <v>0</v>
      </c>
      <c r="X26" s="33">
        <v>0</v>
      </c>
    </row>
    <row r="27" spans="1:24" x14ac:dyDescent="0.3">
      <c r="A27" s="51" t="s">
        <v>685</v>
      </c>
      <c r="B27" s="45" t="s">
        <v>702</v>
      </c>
      <c r="C27" s="2" t="s">
        <v>226</v>
      </c>
      <c r="D27" s="45" t="s">
        <v>730</v>
      </c>
      <c r="E27" s="45" t="s">
        <v>759</v>
      </c>
      <c r="F27" s="24" t="str">
        <f>HYPERLINK("https://mapwv.gov/flood/map/?wkid=102100&amp;x=-8789561.675151747&amp;y=4733690.862170321&amp;l=13&amp;v=2","FT")</f>
        <v>FT</v>
      </c>
      <c r="G27" s="29" t="s">
        <v>31</v>
      </c>
      <c r="H27" s="29" t="s">
        <v>24</v>
      </c>
      <c r="I27" s="45" t="s">
        <v>791</v>
      </c>
      <c r="J27" s="51" t="s">
        <v>25</v>
      </c>
      <c r="K27" s="46" t="s">
        <v>152</v>
      </c>
      <c r="L27" s="46" t="s">
        <v>36</v>
      </c>
      <c r="M27" s="51" t="s">
        <v>45</v>
      </c>
      <c r="N27" s="3" t="s">
        <v>34</v>
      </c>
      <c r="O27" s="46" t="s">
        <v>87</v>
      </c>
      <c r="P27" s="45" t="s">
        <v>822</v>
      </c>
      <c r="Q27" s="45" t="s">
        <v>29</v>
      </c>
      <c r="R27" s="29" t="s">
        <v>89</v>
      </c>
      <c r="S27" s="30">
        <v>355600</v>
      </c>
      <c r="T27" s="45" t="s">
        <v>42</v>
      </c>
      <c r="U27" s="31">
        <v>0</v>
      </c>
      <c r="V27" s="31">
        <v>-1</v>
      </c>
      <c r="W27" s="32">
        <v>0</v>
      </c>
      <c r="X27" s="33">
        <v>0</v>
      </c>
    </row>
    <row r="28" spans="1:24" x14ac:dyDescent="0.3">
      <c r="A28" s="51" t="s">
        <v>686</v>
      </c>
      <c r="B28" s="45" t="s">
        <v>702</v>
      </c>
      <c r="C28" s="2" t="s">
        <v>226</v>
      </c>
      <c r="D28" s="45" t="s">
        <v>731</v>
      </c>
      <c r="E28" s="45" t="s">
        <v>754</v>
      </c>
      <c r="F28" s="24" t="str">
        <f>HYPERLINK("https://mapwv.gov/flood/map/?wkid=102100&amp;x=-8790317.657724906&amp;y=4733364.977441062&amp;l=13&amp;v=2","FT")</f>
        <v>FT</v>
      </c>
      <c r="G28" s="29" t="s">
        <v>31</v>
      </c>
      <c r="H28" s="29" t="s">
        <v>24</v>
      </c>
      <c r="I28" s="45" t="s">
        <v>792</v>
      </c>
      <c r="J28" s="51" t="s">
        <v>25</v>
      </c>
      <c r="K28" s="46" t="s">
        <v>79</v>
      </c>
      <c r="L28" s="46" t="s">
        <v>26</v>
      </c>
      <c r="M28" s="51" t="s">
        <v>49</v>
      </c>
      <c r="N28" s="3" t="s">
        <v>34</v>
      </c>
      <c r="O28" s="46" t="s">
        <v>87</v>
      </c>
      <c r="P28" s="45" t="s">
        <v>823</v>
      </c>
      <c r="Q28" s="45" t="s">
        <v>29</v>
      </c>
      <c r="R28" s="29" t="s">
        <v>89</v>
      </c>
      <c r="S28" s="30">
        <v>350800</v>
      </c>
      <c r="T28" s="45" t="s">
        <v>42</v>
      </c>
      <c r="U28" s="31">
        <v>1</v>
      </c>
      <c r="V28" s="31">
        <v>0</v>
      </c>
      <c r="W28" s="32">
        <v>0.01</v>
      </c>
      <c r="X28" s="33">
        <v>3508</v>
      </c>
    </row>
    <row r="29" spans="1:24" x14ac:dyDescent="0.3">
      <c r="A29" s="51" t="s">
        <v>687</v>
      </c>
      <c r="B29" s="45" t="s">
        <v>703</v>
      </c>
      <c r="C29" s="2" t="s">
        <v>707</v>
      </c>
      <c r="D29" s="45" t="s">
        <v>732</v>
      </c>
      <c r="E29" s="45" t="s">
        <v>760</v>
      </c>
      <c r="F29" s="24" t="str">
        <f>HYPERLINK("https://mapwv.gov/flood/map/?wkid=102100&amp;x=-8787218.132815083&amp;y=4744205.062221082&amp;l=13&amp;v=2","FT")</f>
        <v>FT</v>
      </c>
      <c r="G29" s="29" t="s">
        <v>37</v>
      </c>
      <c r="H29" s="29" t="s">
        <v>24</v>
      </c>
      <c r="I29" s="45" t="s">
        <v>793</v>
      </c>
      <c r="J29" s="51" t="s">
        <v>25</v>
      </c>
      <c r="K29" s="46" t="s">
        <v>127</v>
      </c>
      <c r="L29" s="46" t="s">
        <v>26</v>
      </c>
      <c r="M29" s="51" t="s">
        <v>61</v>
      </c>
      <c r="N29" s="3" t="s">
        <v>34</v>
      </c>
      <c r="O29" s="46" t="s">
        <v>87</v>
      </c>
      <c r="P29" s="45" t="s">
        <v>427</v>
      </c>
      <c r="Q29" s="45" t="s">
        <v>50</v>
      </c>
      <c r="R29" s="29" t="s">
        <v>90</v>
      </c>
      <c r="S29" s="30">
        <v>335420</v>
      </c>
      <c r="T29" s="45" t="s">
        <v>30</v>
      </c>
      <c r="U29" s="31">
        <v>0</v>
      </c>
      <c r="V29" s="31">
        <v>-4</v>
      </c>
      <c r="W29" s="32">
        <v>0</v>
      </c>
      <c r="X29" s="33">
        <v>0</v>
      </c>
    </row>
    <row r="30" spans="1:24" x14ac:dyDescent="0.3">
      <c r="A30" s="51" t="s">
        <v>688</v>
      </c>
      <c r="B30" s="45" t="s">
        <v>703</v>
      </c>
      <c r="C30" s="2" t="s">
        <v>707</v>
      </c>
      <c r="D30" s="45" t="s">
        <v>732</v>
      </c>
      <c r="E30" s="45" t="s">
        <v>761</v>
      </c>
      <c r="F30" s="24" t="str">
        <f>HYPERLINK("https://mapwv.gov/flood/map/?wkid=102100&amp;x=-8787194.812049681&amp;y=4744166.708737059&amp;l=13&amp;v=2","FT")</f>
        <v>FT</v>
      </c>
      <c r="G30" s="29" t="s">
        <v>37</v>
      </c>
      <c r="H30" s="29" t="s">
        <v>24</v>
      </c>
      <c r="I30" s="45" t="s">
        <v>793</v>
      </c>
      <c r="J30" s="51" t="s">
        <v>25</v>
      </c>
      <c r="K30" s="46" t="s">
        <v>127</v>
      </c>
      <c r="L30" s="46" t="s">
        <v>26</v>
      </c>
      <c r="M30" s="51" t="s">
        <v>61</v>
      </c>
      <c r="N30" s="3" t="s">
        <v>34</v>
      </c>
      <c r="O30" s="46" t="s">
        <v>87</v>
      </c>
      <c r="P30" s="45" t="s">
        <v>427</v>
      </c>
      <c r="Q30" s="45" t="s">
        <v>50</v>
      </c>
      <c r="R30" s="29" t="s">
        <v>90</v>
      </c>
      <c r="S30" s="30">
        <v>335420</v>
      </c>
      <c r="T30" s="45" t="s">
        <v>30</v>
      </c>
      <c r="U30" s="31">
        <v>0</v>
      </c>
      <c r="V30" s="31">
        <v>-4</v>
      </c>
      <c r="W30" s="32">
        <v>0</v>
      </c>
      <c r="X30" s="33">
        <v>0</v>
      </c>
    </row>
    <row r="31" spans="1:24" x14ac:dyDescent="0.3">
      <c r="A31" s="51" t="s">
        <v>689</v>
      </c>
      <c r="B31" s="45" t="s">
        <v>703</v>
      </c>
      <c r="C31" s="2" t="s">
        <v>707</v>
      </c>
      <c r="D31" s="45" t="s">
        <v>732</v>
      </c>
      <c r="E31" s="45" t="s">
        <v>762</v>
      </c>
      <c r="F31" s="24" t="str">
        <f>HYPERLINK("https://mapwv.gov/flood/map/?wkid=102100&amp;x=-8787184.554181248&amp;y=4744100.180267915&amp;l=13&amp;v=2","FT")</f>
        <v>FT</v>
      </c>
      <c r="G31" s="29" t="s">
        <v>37</v>
      </c>
      <c r="H31" s="29" t="s">
        <v>24</v>
      </c>
      <c r="I31" s="45" t="s">
        <v>793</v>
      </c>
      <c r="J31" s="51" t="s">
        <v>25</v>
      </c>
      <c r="K31" s="46" t="s">
        <v>127</v>
      </c>
      <c r="L31" s="46" t="s">
        <v>26</v>
      </c>
      <c r="M31" s="51" t="s">
        <v>61</v>
      </c>
      <c r="N31" s="3" t="s">
        <v>34</v>
      </c>
      <c r="O31" s="46" t="s">
        <v>87</v>
      </c>
      <c r="P31" s="45" t="s">
        <v>427</v>
      </c>
      <c r="Q31" s="45" t="s">
        <v>50</v>
      </c>
      <c r="R31" s="29" t="s">
        <v>90</v>
      </c>
      <c r="S31" s="30">
        <v>335420</v>
      </c>
      <c r="T31" s="45" t="s">
        <v>30</v>
      </c>
      <c r="U31" s="31">
        <v>0</v>
      </c>
      <c r="V31" s="31">
        <v>-4</v>
      </c>
      <c r="W31" s="32">
        <v>0</v>
      </c>
      <c r="X31" s="33">
        <v>0</v>
      </c>
    </row>
    <row r="32" spans="1:24" x14ac:dyDescent="0.3">
      <c r="A32" s="51" t="s">
        <v>690</v>
      </c>
      <c r="B32" s="45" t="s">
        <v>703</v>
      </c>
      <c r="C32" s="2" t="s">
        <v>707</v>
      </c>
      <c r="D32" s="45" t="s">
        <v>732</v>
      </c>
      <c r="E32" s="45" t="s">
        <v>763</v>
      </c>
      <c r="F32" s="24" t="str">
        <f>HYPERLINK("https://mapwv.gov/flood/map/?wkid=102100&amp;x=-8787143.35049624&amp;y=4744095.27168958&amp;l=13&amp;v=2","FT")</f>
        <v>FT</v>
      </c>
      <c r="G32" s="29" t="s">
        <v>37</v>
      </c>
      <c r="H32" s="29" t="s">
        <v>24</v>
      </c>
      <c r="I32" s="45" t="s">
        <v>793</v>
      </c>
      <c r="J32" s="51" t="s">
        <v>25</v>
      </c>
      <c r="K32" s="46" t="s">
        <v>127</v>
      </c>
      <c r="L32" s="46" t="s">
        <v>26</v>
      </c>
      <c r="M32" s="51" t="s">
        <v>61</v>
      </c>
      <c r="N32" s="3" t="s">
        <v>34</v>
      </c>
      <c r="O32" s="46" t="s">
        <v>87</v>
      </c>
      <c r="P32" s="45" t="s">
        <v>427</v>
      </c>
      <c r="Q32" s="45" t="s">
        <v>50</v>
      </c>
      <c r="R32" s="29" t="s">
        <v>90</v>
      </c>
      <c r="S32" s="30">
        <v>335420</v>
      </c>
      <c r="T32" s="45" t="s">
        <v>30</v>
      </c>
      <c r="U32" s="31">
        <v>0</v>
      </c>
      <c r="V32" s="31">
        <v>-4</v>
      </c>
      <c r="W32" s="32">
        <v>0</v>
      </c>
      <c r="X32" s="33">
        <v>0</v>
      </c>
    </row>
    <row r="33" spans="1:24" x14ac:dyDescent="0.3">
      <c r="A33" s="51" t="s">
        <v>691</v>
      </c>
      <c r="B33" s="45" t="s">
        <v>703</v>
      </c>
      <c r="C33" s="2" t="s">
        <v>707</v>
      </c>
      <c r="D33" s="45" t="s">
        <v>732</v>
      </c>
      <c r="E33" s="45" t="s">
        <v>764</v>
      </c>
      <c r="F33" s="24" t="str">
        <f>HYPERLINK("https://mapwv.gov/flood/map/?wkid=102100&amp;x=-8787096.439683586&amp;y=4744093.625496044&amp;l=13&amp;v=2","FT")</f>
        <v>FT</v>
      </c>
      <c r="G33" s="29" t="s">
        <v>37</v>
      </c>
      <c r="H33" s="29" t="s">
        <v>24</v>
      </c>
      <c r="I33" s="45" t="s">
        <v>793</v>
      </c>
      <c r="J33" s="51" t="s">
        <v>25</v>
      </c>
      <c r="K33" s="46" t="s">
        <v>127</v>
      </c>
      <c r="L33" s="46" t="s">
        <v>26</v>
      </c>
      <c r="M33" s="51" t="s">
        <v>61</v>
      </c>
      <c r="N33" s="3" t="s">
        <v>34</v>
      </c>
      <c r="O33" s="46" t="s">
        <v>87</v>
      </c>
      <c r="P33" s="45" t="s">
        <v>427</v>
      </c>
      <c r="Q33" s="45" t="s">
        <v>50</v>
      </c>
      <c r="R33" s="29" t="s">
        <v>90</v>
      </c>
      <c r="S33" s="30">
        <v>335420</v>
      </c>
      <c r="T33" s="45" t="s">
        <v>30</v>
      </c>
      <c r="U33" s="31">
        <v>0</v>
      </c>
      <c r="V33" s="31">
        <v>-4</v>
      </c>
      <c r="W33" s="32">
        <v>0</v>
      </c>
      <c r="X33" s="33">
        <v>0</v>
      </c>
    </row>
    <row r="34" spans="1:24" x14ac:dyDescent="0.3">
      <c r="A34" s="51" t="s">
        <v>692</v>
      </c>
      <c r="B34" s="45" t="s">
        <v>703</v>
      </c>
      <c r="C34" s="2" t="s">
        <v>707</v>
      </c>
      <c r="D34" s="45" t="s">
        <v>732</v>
      </c>
      <c r="E34" s="45" t="s">
        <v>765</v>
      </c>
      <c r="F34" s="24" t="str">
        <f>HYPERLINK("https://mapwv.gov/flood/map/?wkid=102100&amp;x=-8787046.84339953&amp;y=4744097.9773507295&amp;l=13&amp;v=2","FT")</f>
        <v>FT</v>
      </c>
      <c r="G34" s="29" t="s">
        <v>37</v>
      </c>
      <c r="H34" s="29" t="s">
        <v>24</v>
      </c>
      <c r="I34" s="45" t="s">
        <v>793</v>
      </c>
      <c r="J34" s="51" t="s">
        <v>25</v>
      </c>
      <c r="K34" s="46" t="s">
        <v>127</v>
      </c>
      <c r="L34" s="46" t="s">
        <v>26</v>
      </c>
      <c r="M34" s="51" t="s">
        <v>61</v>
      </c>
      <c r="N34" s="3" t="s">
        <v>34</v>
      </c>
      <c r="O34" s="46" t="s">
        <v>87</v>
      </c>
      <c r="P34" s="45" t="s">
        <v>427</v>
      </c>
      <c r="Q34" s="45" t="s">
        <v>50</v>
      </c>
      <c r="R34" s="29" t="s">
        <v>90</v>
      </c>
      <c r="S34" s="30">
        <v>335420</v>
      </c>
      <c r="T34" s="45" t="s">
        <v>30</v>
      </c>
      <c r="U34" s="31">
        <v>0</v>
      </c>
      <c r="V34" s="31">
        <v>-4</v>
      </c>
      <c r="W34" s="32">
        <v>0</v>
      </c>
      <c r="X34" s="33">
        <v>0</v>
      </c>
    </row>
    <row r="35" spans="1:24" x14ac:dyDescent="0.3">
      <c r="A35" s="51" t="s">
        <v>693</v>
      </c>
      <c r="B35" s="45" t="s">
        <v>703</v>
      </c>
      <c r="C35" s="2" t="s">
        <v>708</v>
      </c>
      <c r="D35" s="45" t="s">
        <v>733</v>
      </c>
      <c r="E35" s="45" t="s">
        <v>766</v>
      </c>
      <c r="F35" s="24" t="str">
        <f>HYPERLINK("https://mapwv.gov/flood/map/?wkid=102100&amp;x=-8781357.209046923&amp;y=4704194.413143691&amp;l=13&amp;v=2","FT")</f>
        <v>FT</v>
      </c>
      <c r="G35" s="29" t="s">
        <v>37</v>
      </c>
      <c r="H35" s="29" t="s">
        <v>24</v>
      </c>
      <c r="I35" s="45" t="s">
        <v>794</v>
      </c>
      <c r="J35" s="51" t="s">
        <v>38</v>
      </c>
      <c r="K35" s="46" t="s">
        <v>128</v>
      </c>
      <c r="L35" s="46" t="s">
        <v>26</v>
      </c>
      <c r="M35" s="51" t="s">
        <v>56</v>
      </c>
      <c r="N35" s="3" t="s">
        <v>85</v>
      </c>
      <c r="O35" s="46" t="s">
        <v>87</v>
      </c>
      <c r="P35" s="45" t="s">
        <v>824</v>
      </c>
      <c r="Q35" s="45" t="s">
        <v>29</v>
      </c>
      <c r="R35" s="29" t="s">
        <v>89</v>
      </c>
      <c r="S35" s="30">
        <v>297970</v>
      </c>
      <c r="T35" s="45" t="s">
        <v>30</v>
      </c>
      <c r="U35" s="31">
        <v>1.0257567999999999</v>
      </c>
      <c r="V35" s="31">
        <v>2.57568359375E-2</v>
      </c>
      <c r="W35" s="32">
        <v>2.5756835937500002E-3</v>
      </c>
      <c r="X35" s="33">
        <v>767.47644042968705</v>
      </c>
    </row>
    <row r="36" spans="1:24" x14ac:dyDescent="0.3">
      <c r="A36" s="51" t="s">
        <v>694</v>
      </c>
      <c r="B36" s="45" t="s">
        <v>703</v>
      </c>
      <c r="C36" s="2" t="s">
        <v>709</v>
      </c>
      <c r="D36" s="45" t="s">
        <v>734</v>
      </c>
      <c r="E36" s="45" t="s">
        <v>767</v>
      </c>
      <c r="F36" s="24" t="str">
        <f>HYPERLINK("https://mapwv.gov/flood/map/?wkid=102100&amp;x=-8799580.907662993&amp;y=4720400.254652118&amp;l=13&amp;v=2","FT")</f>
        <v>FT</v>
      </c>
      <c r="G36" s="29" t="s">
        <v>37</v>
      </c>
      <c r="H36" s="29" t="s">
        <v>24</v>
      </c>
      <c r="I36" s="45" t="s">
        <v>795</v>
      </c>
      <c r="J36" s="51" t="s">
        <v>38</v>
      </c>
      <c r="K36" s="46" t="s">
        <v>133</v>
      </c>
      <c r="L36" s="46" t="s">
        <v>36</v>
      </c>
      <c r="M36" s="51" t="s">
        <v>61</v>
      </c>
      <c r="N36" s="3" t="s">
        <v>34</v>
      </c>
      <c r="O36" s="46" t="s">
        <v>87</v>
      </c>
      <c r="P36" s="45" t="s">
        <v>825</v>
      </c>
      <c r="Q36" s="45" t="s">
        <v>50</v>
      </c>
      <c r="R36" s="29" t="s">
        <v>105</v>
      </c>
      <c r="S36" s="30">
        <v>245520</v>
      </c>
      <c r="T36" s="45" t="s">
        <v>30</v>
      </c>
      <c r="U36" s="31">
        <v>0</v>
      </c>
      <c r="V36" s="31">
        <v>-3</v>
      </c>
      <c r="W36" s="32">
        <v>0</v>
      </c>
      <c r="X36" s="33">
        <v>0</v>
      </c>
    </row>
    <row r="37" spans="1:24" x14ac:dyDescent="0.3">
      <c r="A37" s="51" t="s">
        <v>695</v>
      </c>
      <c r="B37" s="45" t="s">
        <v>703</v>
      </c>
      <c r="C37" s="2" t="s">
        <v>710</v>
      </c>
      <c r="D37" s="45" t="s">
        <v>735</v>
      </c>
      <c r="E37" s="45" t="s">
        <v>768</v>
      </c>
      <c r="F37" s="24" t="str">
        <f>HYPERLINK("https://mapwv.gov/flood/map/?wkid=102100&amp;x=-8803208.418691251&amp;y=4696986.492525436&amp;l=13&amp;v=2","FT")</f>
        <v>FT</v>
      </c>
      <c r="G37" s="29" t="s">
        <v>37</v>
      </c>
      <c r="H37" s="29" t="s">
        <v>24</v>
      </c>
      <c r="I37" s="45" t="s">
        <v>796</v>
      </c>
      <c r="J37" s="51" t="s">
        <v>38</v>
      </c>
      <c r="K37" s="46" t="s">
        <v>803</v>
      </c>
      <c r="L37" s="46" t="s">
        <v>48</v>
      </c>
      <c r="M37" s="51" t="s">
        <v>39</v>
      </c>
      <c r="N37" s="3" t="s">
        <v>40</v>
      </c>
      <c r="O37" s="46" t="s">
        <v>88</v>
      </c>
      <c r="P37" s="45" t="s">
        <v>826</v>
      </c>
      <c r="Q37" s="45" t="s">
        <v>41</v>
      </c>
      <c r="R37" s="29" t="s">
        <v>90</v>
      </c>
      <c r="S37" s="30">
        <v>233700</v>
      </c>
      <c r="T37" s="45" t="s">
        <v>30</v>
      </c>
      <c r="U37" s="31">
        <v>0</v>
      </c>
      <c r="V37" s="31">
        <v>-4</v>
      </c>
      <c r="W37" s="32">
        <v>0</v>
      </c>
      <c r="X37" s="33">
        <v>0</v>
      </c>
    </row>
    <row r="38" spans="1:24" x14ac:dyDescent="0.3">
      <c r="A38" s="51" t="s">
        <v>696</v>
      </c>
      <c r="B38" s="45" t="s">
        <v>703</v>
      </c>
      <c r="C38" s="2" t="s">
        <v>710</v>
      </c>
      <c r="D38" s="45" t="s">
        <v>736</v>
      </c>
      <c r="E38" s="45" t="s">
        <v>769</v>
      </c>
      <c r="F38" s="24" t="str">
        <f>HYPERLINK("https://mapwv.gov/flood/map/?wkid=102100&amp;x=-8789955.57672089&amp;y=4726447.694750919&amp;l=13&amp;v=2","FT")</f>
        <v>FT</v>
      </c>
      <c r="G38" s="29" t="s">
        <v>31</v>
      </c>
      <c r="H38" s="29" t="s">
        <v>24</v>
      </c>
      <c r="I38" s="45" t="s">
        <v>797</v>
      </c>
      <c r="J38" s="51" t="s">
        <v>38</v>
      </c>
      <c r="K38" s="46" t="s">
        <v>804</v>
      </c>
      <c r="L38" s="46" t="s">
        <v>43</v>
      </c>
      <c r="M38" s="51" t="s">
        <v>39</v>
      </c>
      <c r="N38" s="3" t="s">
        <v>40</v>
      </c>
      <c r="O38" s="46" t="s">
        <v>88</v>
      </c>
      <c r="P38" s="45" t="s">
        <v>827</v>
      </c>
      <c r="Q38" s="45" t="s">
        <v>41</v>
      </c>
      <c r="R38" s="29" t="s">
        <v>90</v>
      </c>
      <c r="S38" s="30">
        <v>233000</v>
      </c>
      <c r="T38" s="45" t="s">
        <v>42</v>
      </c>
      <c r="U38" s="31">
        <v>0</v>
      </c>
      <c r="V38" s="31">
        <v>-4</v>
      </c>
      <c r="W38" s="32">
        <v>0</v>
      </c>
      <c r="X38" s="33">
        <v>0</v>
      </c>
    </row>
    <row r="39" spans="1:24" x14ac:dyDescent="0.3">
      <c r="A39" s="51" t="s">
        <v>697</v>
      </c>
      <c r="B39" s="45" t="s">
        <v>703</v>
      </c>
      <c r="C39" s="2" t="s">
        <v>226</v>
      </c>
      <c r="D39" s="45" t="s">
        <v>737</v>
      </c>
      <c r="E39" s="45" t="s">
        <v>770</v>
      </c>
      <c r="F39" s="24" t="str">
        <f>HYPERLINK("https://mapwv.gov/flood/map/?wkid=102100&amp;x=-8800357.085595535&amp;y=4721915.6985772755&amp;l=13&amp;v=2","FT")</f>
        <v>FT</v>
      </c>
      <c r="G39" s="29" t="s">
        <v>37</v>
      </c>
      <c r="H39" s="29" t="s">
        <v>24</v>
      </c>
      <c r="I39" s="45" t="s">
        <v>798</v>
      </c>
      <c r="J39" s="51" t="s">
        <v>25</v>
      </c>
      <c r="K39" s="46" t="s">
        <v>111</v>
      </c>
      <c r="L39" s="46" t="s">
        <v>48</v>
      </c>
      <c r="M39" s="51" t="s">
        <v>39</v>
      </c>
      <c r="N39" s="3" t="s">
        <v>40</v>
      </c>
      <c r="O39" s="46" t="s">
        <v>87</v>
      </c>
      <c r="P39" s="45" t="s">
        <v>102</v>
      </c>
      <c r="Q39" s="45" t="s">
        <v>29</v>
      </c>
      <c r="R39" s="29" t="s">
        <v>89</v>
      </c>
      <c r="S39" s="30">
        <v>231100</v>
      </c>
      <c r="T39" s="45" t="s">
        <v>30</v>
      </c>
      <c r="U39" s="31">
        <v>4.8146443000000003</v>
      </c>
      <c r="V39" s="31">
        <v>3.8146443367004301</v>
      </c>
      <c r="W39" s="32">
        <v>0.45702510356902998</v>
      </c>
      <c r="X39" s="33">
        <v>105618.50143480299</v>
      </c>
    </row>
    <row r="40" spans="1:24" x14ac:dyDescent="0.3">
      <c r="A40" s="51" t="s">
        <v>698</v>
      </c>
      <c r="B40" s="45" t="s">
        <v>703</v>
      </c>
      <c r="C40" s="2" t="s">
        <v>226</v>
      </c>
      <c r="D40" s="45" t="s">
        <v>738</v>
      </c>
      <c r="E40" s="45" t="s">
        <v>771</v>
      </c>
      <c r="F40" s="24" t="str">
        <f>HYPERLINK("https://mapwv.gov/flood/map/?wkid=102100&amp;x=-8793340.467252923&amp;y=4726718.493840667&amp;l=13&amp;v=2","FT")</f>
        <v>FT</v>
      </c>
      <c r="G40" s="29" t="s">
        <v>37</v>
      </c>
      <c r="H40" s="29" t="s">
        <v>24</v>
      </c>
      <c r="I40" s="45" t="s">
        <v>799</v>
      </c>
      <c r="J40" s="51" t="s">
        <v>38</v>
      </c>
      <c r="K40" s="46" t="s">
        <v>805</v>
      </c>
      <c r="L40" s="46" t="s">
        <v>43</v>
      </c>
      <c r="M40" s="51" t="s">
        <v>39</v>
      </c>
      <c r="N40" s="3" t="s">
        <v>40</v>
      </c>
      <c r="O40" s="46" t="s">
        <v>88</v>
      </c>
      <c r="P40" s="45" t="s">
        <v>131</v>
      </c>
      <c r="Q40" s="45" t="s">
        <v>41</v>
      </c>
      <c r="R40" s="29" t="s">
        <v>90</v>
      </c>
      <c r="S40" s="30">
        <v>228700</v>
      </c>
      <c r="T40" s="45" t="s">
        <v>42</v>
      </c>
      <c r="U40" s="31">
        <v>0</v>
      </c>
      <c r="V40" s="31">
        <v>-4</v>
      </c>
      <c r="W40" s="32">
        <v>0</v>
      </c>
      <c r="X40" s="33">
        <v>0</v>
      </c>
    </row>
    <row r="41" spans="1:24" x14ac:dyDescent="0.3">
      <c r="A41" s="51" t="s">
        <v>699</v>
      </c>
      <c r="B41" s="45" t="s">
        <v>703</v>
      </c>
      <c r="C41" s="2" t="s">
        <v>226</v>
      </c>
      <c r="D41" s="45" t="s">
        <v>739</v>
      </c>
      <c r="E41" s="45" t="s">
        <v>772</v>
      </c>
      <c r="F41" s="24" t="str">
        <f>HYPERLINK("https://mapwv.gov/flood/map/?wkid=102100&amp;x=-8785875.184274273&amp;y=4741193.594282212&amp;l=13&amp;v=2","FT")</f>
        <v>FT</v>
      </c>
      <c r="G41" s="29" t="s">
        <v>37</v>
      </c>
      <c r="H41" s="29" t="s">
        <v>24</v>
      </c>
      <c r="I41" s="45" t="s">
        <v>800</v>
      </c>
      <c r="J41" s="51" t="s">
        <v>25</v>
      </c>
      <c r="K41" s="46" t="s">
        <v>101</v>
      </c>
      <c r="L41" s="46" t="s">
        <v>48</v>
      </c>
      <c r="M41" s="51" t="s">
        <v>39</v>
      </c>
      <c r="N41" s="3" t="s">
        <v>40</v>
      </c>
      <c r="O41" s="46" t="s">
        <v>87</v>
      </c>
      <c r="P41" s="45" t="s">
        <v>132</v>
      </c>
      <c r="Q41" s="45" t="s">
        <v>29</v>
      </c>
      <c r="R41" s="29" t="s">
        <v>89</v>
      </c>
      <c r="S41" s="30">
        <v>226400</v>
      </c>
      <c r="T41" s="45" t="s">
        <v>42</v>
      </c>
      <c r="U41" s="31">
        <v>16.927123999999999</v>
      </c>
      <c r="V41" s="31">
        <v>15.9271240234375</v>
      </c>
      <c r="W41" s="32">
        <v>0.81</v>
      </c>
      <c r="X41" s="33">
        <v>183384</v>
      </c>
    </row>
    <row r="42" spans="1:24" x14ac:dyDescent="0.3">
      <c r="A42" s="51" t="s">
        <v>700</v>
      </c>
      <c r="B42" s="45" t="s">
        <v>703</v>
      </c>
      <c r="C42" s="2" t="s">
        <v>710</v>
      </c>
      <c r="D42" s="45" t="s">
        <v>740</v>
      </c>
      <c r="E42" s="45" t="s">
        <v>773</v>
      </c>
      <c r="F42" s="24" t="str">
        <f>HYPERLINK("https://mapwv.gov/flood/map/?wkid=102100&amp;x=-8789762.12058909&amp;y=4727053.119696712&amp;l=13&amp;v=2","FT")</f>
        <v>FT</v>
      </c>
      <c r="G42" s="29" t="s">
        <v>31</v>
      </c>
      <c r="H42" s="29" t="s">
        <v>24</v>
      </c>
      <c r="I42" s="45" t="s">
        <v>801</v>
      </c>
      <c r="J42" s="51" t="s">
        <v>38</v>
      </c>
      <c r="K42" s="46" t="s">
        <v>381</v>
      </c>
      <c r="L42" s="46" t="s">
        <v>26</v>
      </c>
      <c r="M42" s="51" t="s">
        <v>39</v>
      </c>
      <c r="N42" s="3" t="s">
        <v>40</v>
      </c>
      <c r="O42" s="46" t="s">
        <v>88</v>
      </c>
      <c r="P42" s="45" t="s">
        <v>828</v>
      </c>
      <c r="Q42" s="45" t="s">
        <v>41</v>
      </c>
      <c r="R42" s="29" t="s">
        <v>90</v>
      </c>
      <c r="S42" s="30">
        <v>205600</v>
      </c>
      <c r="T42" s="45" t="s">
        <v>30</v>
      </c>
      <c r="U42" s="31">
        <v>0.47760010000000003</v>
      </c>
      <c r="V42" s="31">
        <v>-3.52239990234375</v>
      </c>
      <c r="W42" s="32">
        <v>0.04</v>
      </c>
      <c r="X42" s="33">
        <v>8224</v>
      </c>
    </row>
    <row r="43" spans="1:24" x14ac:dyDescent="0.3">
      <c r="A43" s="51" t="s">
        <v>701</v>
      </c>
      <c r="B43" s="45" t="s">
        <v>703</v>
      </c>
      <c r="C43" s="2" t="s">
        <v>226</v>
      </c>
      <c r="D43" s="45" t="s">
        <v>741</v>
      </c>
      <c r="E43" s="45" t="s">
        <v>774</v>
      </c>
      <c r="F43" s="24" t="str">
        <f>HYPERLINK("https://mapwv.gov/flood/map/?wkid=102100&amp;x=-8799995.500519846&amp;y=4721469.672802076&amp;l=13&amp;v=2","FT")</f>
        <v>FT</v>
      </c>
      <c r="G43" s="29" t="s">
        <v>37</v>
      </c>
      <c r="H43" s="29" t="s">
        <v>24</v>
      </c>
      <c r="I43" s="45" t="s">
        <v>802</v>
      </c>
      <c r="J43" s="51" t="s">
        <v>25</v>
      </c>
      <c r="K43" s="46" t="s">
        <v>155</v>
      </c>
      <c r="L43" s="46" t="s">
        <v>55</v>
      </c>
      <c r="M43" s="51" t="s">
        <v>39</v>
      </c>
      <c r="N43" s="3" t="s">
        <v>40</v>
      </c>
      <c r="O43" s="46" t="s">
        <v>87</v>
      </c>
      <c r="P43" s="2" t="s">
        <v>401</v>
      </c>
      <c r="Q43" s="45" t="s">
        <v>41</v>
      </c>
      <c r="R43" s="29" t="s">
        <v>90</v>
      </c>
      <c r="S43" s="30">
        <v>202900</v>
      </c>
      <c r="T43" s="45" t="s">
        <v>42</v>
      </c>
      <c r="U43" s="31">
        <v>5.2203980000000003</v>
      </c>
      <c r="V43" s="31">
        <v>1.22039794921875</v>
      </c>
      <c r="W43" s="32">
        <v>0.33542785644531198</v>
      </c>
      <c r="X43" s="33">
        <v>68058.312072753906</v>
      </c>
    </row>
  </sheetData>
  <conditionalFormatting sqref="A7:A9 A11:A43">
    <cfRule type="duplicateValues" dxfId="7" priority="5"/>
    <cfRule type="duplicateValues" dxfId="6" priority="6"/>
  </conditionalFormatting>
  <conditionalFormatting sqref="A10">
    <cfRule type="duplicateValues" dxfId="5" priority="1"/>
    <cfRule type="duplicateValues" dxfId="4" priority="2"/>
  </conditionalFormatting>
  <hyperlinks>
    <hyperlink ref="J3" r:id="rId1" xr:uid="{40EAEFD4-590C-4ADD-9D7C-971B81B29AD8}"/>
    <hyperlink ref="M3" r:id="rId2" xr:uid="{56C5B629-2A02-473E-88AF-8CA45A751104}"/>
    <hyperlink ref="Q3" r:id="rId3" xr:uid="{13EF7490-5E4B-4BFD-BD59-5F168BFABCB2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CE280-F451-4E78-A788-56BED9B819D0}">
  <dimension ref="A1:X68"/>
  <sheetViews>
    <sheetView zoomScaleNormal="100" workbookViewId="0">
      <pane ySplit="6" topLeftCell="A7" activePane="bottomLeft" state="frozen"/>
      <selection pane="bottomLeft" activeCell="B4" sqref="B4"/>
    </sheetView>
  </sheetViews>
  <sheetFormatPr defaultRowHeight="14.4" x14ac:dyDescent="0.3"/>
  <cols>
    <col min="1" max="1" width="33.88671875" bestFit="1" customWidth="1"/>
    <col min="2" max="2" width="12.5546875" customWidth="1"/>
    <col min="7" max="7" width="11.6640625" style="6" customWidth="1"/>
    <col min="8" max="8" width="8.88671875" style="6"/>
    <col min="13" max="13" width="10" customWidth="1"/>
    <col min="14" max="14" width="14.21875" bestFit="1" customWidth="1"/>
    <col min="17" max="17" width="10.88671875" customWidth="1"/>
    <col min="19" max="19" width="21.77734375" bestFit="1" customWidth="1"/>
    <col min="20" max="20" width="22.6640625" bestFit="1" customWidth="1"/>
    <col min="24" max="24" width="9.5546875" bestFit="1" customWidth="1"/>
  </cols>
  <sheetData>
    <row r="1" spans="1:24" ht="14.25" customHeight="1" x14ac:dyDescent="0.3">
      <c r="A1" s="4" t="s">
        <v>64</v>
      </c>
      <c r="B1" s="4"/>
      <c r="C1" s="4"/>
      <c r="D1" s="4"/>
      <c r="F1" s="17" t="s">
        <v>65</v>
      </c>
      <c r="J1" s="6"/>
      <c r="K1" s="6"/>
      <c r="L1" s="6"/>
      <c r="N1" s="5" t="s">
        <v>66</v>
      </c>
      <c r="O1" s="6"/>
      <c r="P1" s="6"/>
      <c r="R1" s="6"/>
      <c r="S1" s="7" t="s">
        <v>67</v>
      </c>
      <c r="U1" s="8"/>
      <c r="V1" s="8"/>
      <c r="W1" s="9"/>
      <c r="X1" s="10"/>
    </row>
    <row r="2" spans="1:24" x14ac:dyDescent="0.3">
      <c r="A2" s="11">
        <v>44580</v>
      </c>
      <c r="B2" s="12" t="s">
        <v>68</v>
      </c>
      <c r="F2" s="6"/>
      <c r="J2" s="6"/>
      <c r="K2" s="6"/>
      <c r="L2" s="6"/>
      <c r="N2" s="13" t="s">
        <v>40</v>
      </c>
      <c r="O2" s="6"/>
      <c r="P2" s="6"/>
      <c r="R2" s="6"/>
      <c r="S2" s="39"/>
      <c r="U2" s="8"/>
      <c r="V2" s="8"/>
      <c r="W2" s="9"/>
      <c r="X2" s="10"/>
    </row>
    <row r="3" spans="1:24" x14ac:dyDescent="0.3">
      <c r="A3" t="s">
        <v>70</v>
      </c>
      <c r="B3" s="40"/>
      <c r="F3" s="6"/>
      <c r="J3" s="16" t="s">
        <v>69</v>
      </c>
      <c r="K3" s="6"/>
      <c r="L3" s="6"/>
      <c r="M3" s="14" t="s">
        <v>69</v>
      </c>
      <c r="N3" s="5"/>
      <c r="O3" s="6"/>
      <c r="P3" s="6"/>
      <c r="Q3" s="14" t="s">
        <v>69</v>
      </c>
      <c r="R3" s="15"/>
      <c r="S3" s="39"/>
      <c r="U3" s="8"/>
      <c r="V3" s="8"/>
      <c r="W3" s="9"/>
      <c r="X3" s="10"/>
    </row>
    <row r="4" spans="1:24" x14ac:dyDescent="0.3">
      <c r="F4" s="6"/>
      <c r="J4" s="6"/>
      <c r="K4" s="6"/>
      <c r="L4" s="6"/>
      <c r="N4" s="5"/>
      <c r="O4" s="6"/>
      <c r="P4" s="6"/>
      <c r="R4" s="6"/>
      <c r="S4" s="39"/>
      <c r="U4" s="8"/>
      <c r="V4" s="8"/>
      <c r="W4" s="9"/>
      <c r="X4" s="10"/>
    </row>
    <row r="5" spans="1:24" x14ac:dyDescent="0.3">
      <c r="A5" s="1" t="s">
        <v>832</v>
      </c>
      <c r="F5" s="6"/>
      <c r="J5" s="6"/>
      <c r="K5" s="6"/>
      <c r="L5" s="6"/>
      <c r="O5" s="6"/>
      <c r="P5" s="6"/>
      <c r="R5" s="6"/>
      <c r="S5" s="34" t="s">
        <v>109</v>
      </c>
      <c r="U5" s="6"/>
      <c r="V5" s="6"/>
      <c r="W5" s="9"/>
      <c r="X5" s="10"/>
    </row>
    <row r="6" spans="1:24" ht="43.2" x14ac:dyDescent="0.3">
      <c r="A6" s="25" t="s">
        <v>0</v>
      </c>
      <c r="B6" s="18" t="s">
        <v>1</v>
      </c>
      <c r="C6" s="18" t="s">
        <v>2</v>
      </c>
      <c r="D6" s="26" t="s">
        <v>3</v>
      </c>
      <c r="E6" s="26" t="s">
        <v>4</v>
      </c>
      <c r="F6" s="18" t="s">
        <v>5</v>
      </c>
      <c r="G6" s="18" t="s">
        <v>6</v>
      </c>
      <c r="H6" s="25" t="s">
        <v>7</v>
      </c>
      <c r="I6" s="18" t="s">
        <v>8</v>
      </c>
      <c r="J6" s="25" t="s">
        <v>9</v>
      </c>
      <c r="K6" s="26" t="s">
        <v>10</v>
      </c>
      <c r="L6" s="18" t="s">
        <v>11</v>
      </c>
      <c r="M6" s="26" t="s">
        <v>12</v>
      </c>
      <c r="N6" s="19" t="s">
        <v>13</v>
      </c>
      <c r="O6" s="26" t="s">
        <v>14</v>
      </c>
      <c r="P6" s="26" t="s">
        <v>15</v>
      </c>
      <c r="Q6" s="26" t="s">
        <v>16</v>
      </c>
      <c r="R6" s="26" t="s">
        <v>17</v>
      </c>
      <c r="S6" s="20" t="s">
        <v>18</v>
      </c>
      <c r="T6" s="18" t="s">
        <v>19</v>
      </c>
      <c r="U6" s="27" t="s">
        <v>20</v>
      </c>
      <c r="V6" s="27" t="s">
        <v>21</v>
      </c>
      <c r="W6" s="28" t="s">
        <v>22</v>
      </c>
      <c r="X6" s="21" t="s">
        <v>23</v>
      </c>
    </row>
    <row r="7" spans="1:24" x14ac:dyDescent="0.3">
      <c r="A7" s="51" t="s">
        <v>833</v>
      </c>
      <c r="B7" s="45" t="s">
        <v>895</v>
      </c>
      <c r="C7" s="45" t="s">
        <v>898</v>
      </c>
      <c r="D7" s="45" t="s">
        <v>902</v>
      </c>
      <c r="E7" s="45" t="s">
        <v>957</v>
      </c>
      <c r="F7" s="24" t="str">
        <f>HYPERLINK("https://mapwv.gov/flood/map/?wkid=102100&amp;x=-8776402.749205623&amp;y=4803088.001773762&amp;l=13&amp;v=2","FT")</f>
        <v>FT</v>
      </c>
      <c r="G7" s="29" t="s">
        <v>31</v>
      </c>
      <c r="H7" s="29" t="s">
        <v>24</v>
      </c>
      <c r="I7" s="45" t="s">
        <v>1019</v>
      </c>
      <c r="J7" s="22" t="s">
        <v>35</v>
      </c>
      <c r="K7" s="46" t="s">
        <v>74</v>
      </c>
      <c r="L7" s="46"/>
      <c r="M7" s="45" t="s">
        <v>33</v>
      </c>
      <c r="N7" s="3" t="s">
        <v>86</v>
      </c>
      <c r="O7" s="46" t="s">
        <v>87</v>
      </c>
      <c r="P7" s="45" t="s">
        <v>1074</v>
      </c>
      <c r="Q7" s="45" t="s">
        <v>29</v>
      </c>
      <c r="R7" s="23" t="s">
        <v>89</v>
      </c>
      <c r="S7" s="30">
        <v>40000000</v>
      </c>
      <c r="T7" s="45" t="s">
        <v>30</v>
      </c>
      <c r="U7" s="31">
        <v>0</v>
      </c>
      <c r="V7" s="31">
        <v>-1</v>
      </c>
      <c r="W7" s="32">
        <v>0</v>
      </c>
      <c r="X7" s="33">
        <v>0</v>
      </c>
    </row>
    <row r="8" spans="1:24" x14ac:dyDescent="0.3">
      <c r="A8" s="51" t="s">
        <v>834</v>
      </c>
      <c r="B8" s="45" t="s">
        <v>896</v>
      </c>
      <c r="C8" s="45" t="s">
        <v>899</v>
      </c>
      <c r="D8" s="45" t="s">
        <v>903</v>
      </c>
      <c r="E8" s="45" t="s">
        <v>958</v>
      </c>
      <c r="F8" s="24" t="str">
        <f>HYPERLINK("https://mapwv.gov/flood/map/?wkid=102100&amp;x=-8792928.548846833&amp;y=4783343.419342185&amp;l=13&amp;v=2","FT")</f>
        <v>FT</v>
      </c>
      <c r="G8" s="29" t="s">
        <v>31</v>
      </c>
      <c r="H8" s="29" t="s">
        <v>24</v>
      </c>
      <c r="I8" s="45"/>
      <c r="J8" s="22" t="s">
        <v>38</v>
      </c>
      <c r="K8" s="46" t="s">
        <v>139</v>
      </c>
      <c r="L8" s="46"/>
      <c r="M8" s="45" t="s">
        <v>58</v>
      </c>
      <c r="N8" s="3" t="s">
        <v>83</v>
      </c>
      <c r="O8" s="46" t="s">
        <v>87</v>
      </c>
      <c r="P8" s="45" t="s">
        <v>1075</v>
      </c>
      <c r="Q8" s="45" t="s">
        <v>29</v>
      </c>
      <c r="R8" s="23" t="s">
        <v>89</v>
      </c>
      <c r="S8" s="30">
        <v>13500000</v>
      </c>
      <c r="T8" s="45" t="s">
        <v>59</v>
      </c>
      <c r="U8" s="31">
        <v>0</v>
      </c>
      <c r="V8" s="31">
        <v>-1</v>
      </c>
      <c r="W8" s="32">
        <v>0</v>
      </c>
      <c r="X8" s="33">
        <v>0</v>
      </c>
    </row>
    <row r="9" spans="1:24" x14ac:dyDescent="0.3">
      <c r="A9" s="51" t="s">
        <v>835</v>
      </c>
      <c r="B9" s="45" t="s">
        <v>896</v>
      </c>
      <c r="C9" s="45" t="s">
        <v>899</v>
      </c>
      <c r="D9" s="45" t="s">
        <v>904</v>
      </c>
      <c r="E9" s="45" t="s">
        <v>959</v>
      </c>
      <c r="F9" s="24" t="str">
        <f>HYPERLINK("https://mapwv.gov/flood/map/?wkid=102100&amp;x=-8793027.639001006&amp;y=4782930.004748998&amp;l=13&amp;v=2","FT")</f>
        <v>FT</v>
      </c>
      <c r="G9" s="29" t="s">
        <v>31</v>
      </c>
      <c r="H9" s="29" t="s">
        <v>138</v>
      </c>
      <c r="I9" s="45" t="s">
        <v>57</v>
      </c>
      <c r="J9" s="22" t="s">
        <v>25</v>
      </c>
      <c r="K9" s="46" t="s">
        <v>99</v>
      </c>
      <c r="L9" s="46"/>
      <c r="M9" s="45" t="s">
        <v>58</v>
      </c>
      <c r="N9" s="3" t="s">
        <v>83</v>
      </c>
      <c r="O9" s="46" t="s">
        <v>87</v>
      </c>
      <c r="P9" s="45" t="s">
        <v>1076</v>
      </c>
      <c r="Q9" s="45" t="s">
        <v>29</v>
      </c>
      <c r="R9" s="23" t="s">
        <v>89</v>
      </c>
      <c r="S9" s="30">
        <v>7994200</v>
      </c>
      <c r="T9" s="45" t="s">
        <v>42</v>
      </c>
      <c r="U9" s="31">
        <v>1.7925415</v>
      </c>
      <c r="V9" s="31">
        <v>0.79254150390625</v>
      </c>
      <c r="W9" s="32">
        <v>3.96270751953125E-2</v>
      </c>
      <c r="X9" s="33">
        <v>316786.76452636701</v>
      </c>
    </row>
    <row r="10" spans="1:24" x14ac:dyDescent="0.3">
      <c r="A10" s="51" t="s">
        <v>836</v>
      </c>
      <c r="B10" s="45" t="s">
        <v>895</v>
      </c>
      <c r="C10" s="45" t="s">
        <v>899</v>
      </c>
      <c r="D10" s="45" t="s">
        <v>905</v>
      </c>
      <c r="E10" s="45" t="s">
        <v>960</v>
      </c>
      <c r="F10" s="24" t="str">
        <f>HYPERLINK("https://mapwv.gov/flood/map/?wkid=102100&amp;x=-8794535.527404943&amp;y=4780478.667972763&amp;l=13&amp;v=2","FT")</f>
        <v>FT</v>
      </c>
      <c r="G10" s="29" t="s">
        <v>31</v>
      </c>
      <c r="H10" s="29" t="s">
        <v>24</v>
      </c>
      <c r="I10" s="45" t="s">
        <v>1020</v>
      </c>
      <c r="J10" s="22" t="s">
        <v>25</v>
      </c>
      <c r="K10" s="46" t="s">
        <v>100</v>
      </c>
      <c r="L10" s="46" t="s">
        <v>48</v>
      </c>
      <c r="M10" s="45" t="s">
        <v>1071</v>
      </c>
      <c r="N10" s="3" t="s">
        <v>34</v>
      </c>
      <c r="O10" s="46" t="s">
        <v>87</v>
      </c>
      <c r="P10" s="45" t="s">
        <v>1077</v>
      </c>
      <c r="Q10" s="45" t="s">
        <v>29</v>
      </c>
      <c r="R10" s="23" t="s">
        <v>89</v>
      </c>
      <c r="S10" s="30">
        <v>7038600</v>
      </c>
      <c r="T10" s="45" t="s">
        <v>42</v>
      </c>
      <c r="U10" s="31">
        <v>2.0435180000000002</v>
      </c>
      <c r="V10" s="31">
        <v>1.04351806640625</v>
      </c>
      <c r="W10" s="32">
        <v>0</v>
      </c>
      <c r="X10" s="33">
        <v>0</v>
      </c>
    </row>
    <row r="11" spans="1:24" x14ac:dyDescent="0.3">
      <c r="A11" s="51" t="s">
        <v>837</v>
      </c>
      <c r="B11" s="45" t="s">
        <v>895</v>
      </c>
      <c r="C11" s="45" t="s">
        <v>899</v>
      </c>
      <c r="D11" s="45" t="s">
        <v>906</v>
      </c>
      <c r="E11" s="45" t="s">
        <v>961</v>
      </c>
      <c r="F11" s="24" t="str">
        <f>HYPERLINK("https://mapwv.gov/flood/map/?wkid=102100&amp;x=-8795513.631324058&amp;y=4779332.565672272&amp;l=13&amp;v=2","FT")</f>
        <v>FT</v>
      </c>
      <c r="G11" s="29" t="s">
        <v>31</v>
      </c>
      <c r="H11" s="29" t="s">
        <v>24</v>
      </c>
      <c r="I11" s="45" t="s">
        <v>778</v>
      </c>
      <c r="J11" s="22" t="s">
        <v>25</v>
      </c>
      <c r="K11" s="46" t="s">
        <v>82</v>
      </c>
      <c r="L11" s="46" t="s">
        <v>26</v>
      </c>
      <c r="M11" s="45" t="s">
        <v>45</v>
      </c>
      <c r="N11" s="3" t="s">
        <v>34</v>
      </c>
      <c r="O11" s="46" t="s">
        <v>87</v>
      </c>
      <c r="P11" s="45" t="s">
        <v>1078</v>
      </c>
      <c r="Q11" s="45" t="s">
        <v>29</v>
      </c>
      <c r="R11" s="23" t="s">
        <v>89</v>
      </c>
      <c r="S11" s="30">
        <v>5708900</v>
      </c>
      <c r="T11" s="45" t="s">
        <v>42</v>
      </c>
      <c r="U11" s="31">
        <v>0</v>
      </c>
      <c r="V11" s="31">
        <v>-1</v>
      </c>
      <c r="W11" s="32">
        <v>0</v>
      </c>
      <c r="X11" s="33">
        <v>0</v>
      </c>
    </row>
    <row r="12" spans="1:24" x14ac:dyDescent="0.3">
      <c r="A12" s="51" t="s">
        <v>838</v>
      </c>
      <c r="B12" s="45" t="s">
        <v>896</v>
      </c>
      <c r="C12" s="45" t="s">
        <v>899</v>
      </c>
      <c r="D12" s="45" t="s">
        <v>903</v>
      </c>
      <c r="E12" s="45" t="s">
        <v>962</v>
      </c>
      <c r="F12" s="24" t="str">
        <f>HYPERLINK("https://mapwv.gov/flood/map/?wkid=102100&amp;x=-8792871.058452416&amp;y=4783116.222295489&amp;l=13&amp;v=2","FT")</f>
        <v>FT</v>
      </c>
      <c r="G12" s="29" t="s">
        <v>31</v>
      </c>
      <c r="H12" s="29" t="s">
        <v>138</v>
      </c>
      <c r="I12" s="45"/>
      <c r="J12" s="22" t="s">
        <v>38</v>
      </c>
      <c r="K12" s="46" t="s">
        <v>139</v>
      </c>
      <c r="L12" s="46"/>
      <c r="M12" s="45" t="s">
        <v>58</v>
      </c>
      <c r="N12" s="3" t="s">
        <v>83</v>
      </c>
      <c r="O12" s="46" t="s">
        <v>87</v>
      </c>
      <c r="P12" s="45" t="s">
        <v>1075</v>
      </c>
      <c r="Q12" s="45" t="s">
        <v>29</v>
      </c>
      <c r="R12" s="23" t="s">
        <v>89</v>
      </c>
      <c r="S12" s="30">
        <v>4100000</v>
      </c>
      <c r="T12" s="45" t="s">
        <v>59</v>
      </c>
      <c r="U12" s="31">
        <v>3.7435303000000002</v>
      </c>
      <c r="V12" s="31">
        <v>2.7435302734375</v>
      </c>
      <c r="W12" s="32">
        <v>8.4870605468749999E-2</v>
      </c>
      <c r="X12" s="33">
        <v>347969.482421875</v>
      </c>
    </row>
    <row r="13" spans="1:24" x14ac:dyDescent="0.3">
      <c r="A13" s="51" t="s">
        <v>839</v>
      </c>
      <c r="B13" s="45" t="s">
        <v>895</v>
      </c>
      <c r="C13" s="45" t="s">
        <v>898</v>
      </c>
      <c r="D13" s="45" t="s">
        <v>907</v>
      </c>
      <c r="E13" s="45" t="s">
        <v>963</v>
      </c>
      <c r="F13" s="24" t="str">
        <f>HYPERLINK("https://mapwv.gov/flood/map/?wkid=102100&amp;x=-8777285.358033516&amp;y=4802426.528965085&amp;l=13&amp;v=2","FT")</f>
        <v>FT</v>
      </c>
      <c r="G13" s="29" t="s">
        <v>31</v>
      </c>
      <c r="H13" s="29" t="s">
        <v>24</v>
      </c>
      <c r="I13" s="45" t="s">
        <v>1021</v>
      </c>
      <c r="J13" s="22" t="s">
        <v>25</v>
      </c>
      <c r="K13" s="46" t="s">
        <v>124</v>
      </c>
      <c r="L13" s="46" t="s">
        <v>36</v>
      </c>
      <c r="M13" s="45" t="s">
        <v>33</v>
      </c>
      <c r="N13" s="3" t="s">
        <v>86</v>
      </c>
      <c r="O13" s="46" t="s">
        <v>88</v>
      </c>
      <c r="P13" s="45" t="s">
        <v>1079</v>
      </c>
      <c r="Q13" s="45" t="s">
        <v>29</v>
      </c>
      <c r="R13" s="23" t="s">
        <v>89</v>
      </c>
      <c r="S13" s="30">
        <v>2226200</v>
      </c>
      <c r="T13" s="45" t="s">
        <v>42</v>
      </c>
      <c r="U13" s="31">
        <v>0.13916016</v>
      </c>
      <c r="V13" s="31">
        <v>-0.86083984375</v>
      </c>
      <c r="W13" s="32">
        <v>1.3916015625E-3</v>
      </c>
      <c r="X13" s="33">
        <v>3097.9833984375</v>
      </c>
    </row>
    <row r="14" spans="1:24" x14ac:dyDescent="0.3">
      <c r="A14" s="51" t="s">
        <v>840</v>
      </c>
      <c r="B14" s="45" t="s">
        <v>895</v>
      </c>
      <c r="C14" s="45" t="s">
        <v>899</v>
      </c>
      <c r="D14" s="45" t="s">
        <v>908</v>
      </c>
      <c r="E14" s="45" t="s">
        <v>964</v>
      </c>
      <c r="F14" s="24" t="str">
        <f>HYPERLINK("https://mapwv.gov/flood/map/?wkid=102100&amp;x=-8793534.410296177&amp;y=4782768.093302073&amp;l=13&amp;v=2","FT")</f>
        <v>FT</v>
      </c>
      <c r="G14" s="29" t="s">
        <v>52</v>
      </c>
      <c r="H14" s="29" t="s">
        <v>24</v>
      </c>
      <c r="I14" s="45" t="s">
        <v>1022</v>
      </c>
      <c r="J14" s="22" t="s">
        <v>107</v>
      </c>
      <c r="K14" s="46" t="s">
        <v>76</v>
      </c>
      <c r="L14" s="46" t="s">
        <v>37</v>
      </c>
      <c r="M14" s="45" t="s">
        <v>147</v>
      </c>
      <c r="N14" s="3" t="s">
        <v>34</v>
      </c>
      <c r="O14" s="46" t="s">
        <v>87</v>
      </c>
      <c r="P14" s="45" t="s">
        <v>1080</v>
      </c>
      <c r="Q14" s="45" t="s">
        <v>29</v>
      </c>
      <c r="R14" s="23" t="s">
        <v>89</v>
      </c>
      <c r="S14" s="30">
        <v>1536300</v>
      </c>
      <c r="T14" s="45" t="s">
        <v>42</v>
      </c>
      <c r="U14" s="31">
        <v>0.34472656000000002</v>
      </c>
      <c r="V14" s="31">
        <v>-0.6552734375</v>
      </c>
      <c r="W14" s="32">
        <v>0</v>
      </c>
      <c r="X14" s="33">
        <v>0</v>
      </c>
    </row>
    <row r="15" spans="1:24" x14ac:dyDescent="0.3">
      <c r="A15" s="51" t="s">
        <v>841</v>
      </c>
      <c r="B15" s="45" t="s">
        <v>897</v>
      </c>
      <c r="C15" s="45" t="s">
        <v>898</v>
      </c>
      <c r="D15" s="45" t="s">
        <v>909</v>
      </c>
      <c r="E15" s="45" t="s">
        <v>965</v>
      </c>
      <c r="F15" s="24" t="str">
        <f>HYPERLINK("https://mapwv.gov/flood/map/?wkid=102100&amp;x=-8799606.269582577&amp;y=4791090.825982206&amp;l=13&amp;v=2","FT")</f>
        <v>FT</v>
      </c>
      <c r="G15" s="29" t="s">
        <v>31</v>
      </c>
      <c r="H15" s="29" t="s">
        <v>24</v>
      </c>
      <c r="I15" s="45" t="s">
        <v>1023</v>
      </c>
      <c r="J15" s="22" t="s">
        <v>38</v>
      </c>
      <c r="K15" s="46" t="s">
        <v>130</v>
      </c>
      <c r="L15" s="46" t="s">
        <v>55</v>
      </c>
      <c r="M15" s="45" t="s">
        <v>145</v>
      </c>
      <c r="N15" s="3" t="s">
        <v>40</v>
      </c>
      <c r="O15" s="46" t="s">
        <v>1073</v>
      </c>
      <c r="P15" s="45" t="s">
        <v>1081</v>
      </c>
      <c r="Q15" s="45" t="s">
        <v>29</v>
      </c>
      <c r="R15" s="23" t="s">
        <v>89</v>
      </c>
      <c r="S15" s="30">
        <v>1116200</v>
      </c>
      <c r="T15" s="45" t="s">
        <v>42</v>
      </c>
      <c r="U15" s="31">
        <v>0</v>
      </c>
      <c r="V15" s="31">
        <v>-1</v>
      </c>
      <c r="W15" s="32">
        <v>0</v>
      </c>
      <c r="X15" s="33">
        <v>0</v>
      </c>
    </row>
    <row r="16" spans="1:24" x14ac:dyDescent="0.3">
      <c r="A16" s="51" t="s">
        <v>842</v>
      </c>
      <c r="B16" s="45" t="s">
        <v>896</v>
      </c>
      <c r="C16" s="45" t="s">
        <v>899</v>
      </c>
      <c r="D16" s="45" t="s">
        <v>910</v>
      </c>
      <c r="E16" s="45" t="s">
        <v>966</v>
      </c>
      <c r="F16" s="24" t="str">
        <f>HYPERLINK("https://mapwv.gov/flood/map/?wkid=102100&amp;x=-8791266.98388586&amp;y=4784878.543726963&amp;l=13&amp;v=2","FT")</f>
        <v>FT</v>
      </c>
      <c r="G16" s="29" t="s">
        <v>52</v>
      </c>
      <c r="H16" s="29" t="s">
        <v>24</v>
      </c>
      <c r="I16" s="45" t="s">
        <v>1024</v>
      </c>
      <c r="J16" s="22" t="s">
        <v>35</v>
      </c>
      <c r="K16" s="46" t="s">
        <v>74</v>
      </c>
      <c r="L16" s="46"/>
      <c r="M16" s="45" t="s">
        <v>27</v>
      </c>
      <c r="N16" s="3" t="s">
        <v>84</v>
      </c>
      <c r="O16" s="46" t="s">
        <v>87</v>
      </c>
      <c r="P16" s="45" t="s">
        <v>1082</v>
      </c>
      <c r="Q16" s="45" t="s">
        <v>29</v>
      </c>
      <c r="R16" s="23" t="s">
        <v>89</v>
      </c>
      <c r="S16" s="30">
        <v>1062870</v>
      </c>
      <c r="T16" s="45" t="s">
        <v>30</v>
      </c>
      <c r="U16" s="31">
        <v>4.0505370000000003</v>
      </c>
      <c r="V16" s="31">
        <v>3.050537109375</v>
      </c>
      <c r="W16" s="32">
        <v>0.13050537109374902</v>
      </c>
      <c r="X16" s="33">
        <v>138710.243774414</v>
      </c>
    </row>
    <row r="17" spans="1:24" x14ac:dyDescent="0.3">
      <c r="A17" s="51" t="s">
        <v>843</v>
      </c>
      <c r="B17" s="45" t="s">
        <v>897</v>
      </c>
      <c r="C17" s="45" t="s">
        <v>898</v>
      </c>
      <c r="D17" s="45" t="s">
        <v>911</v>
      </c>
      <c r="E17" s="45" t="s">
        <v>967</v>
      </c>
      <c r="F17" s="24" t="str">
        <f>HYPERLINK("https://mapwv.gov/flood/map/?wkid=102100&amp;x=-8799925.45785096&amp;y=4791023.048289277&amp;l=13&amp;v=2","FT")</f>
        <v>FT</v>
      </c>
      <c r="G17" s="29" t="s">
        <v>31</v>
      </c>
      <c r="H17" s="29" t="s">
        <v>24</v>
      </c>
      <c r="I17" s="45" t="s">
        <v>1025</v>
      </c>
      <c r="J17" s="22" t="s">
        <v>38</v>
      </c>
      <c r="K17" s="46" t="s">
        <v>153</v>
      </c>
      <c r="L17" s="46" t="s">
        <v>43</v>
      </c>
      <c r="M17" s="45" t="s">
        <v>33</v>
      </c>
      <c r="N17" s="3" t="s">
        <v>86</v>
      </c>
      <c r="O17" s="46" t="s">
        <v>87</v>
      </c>
      <c r="P17" s="45" t="s">
        <v>1083</v>
      </c>
      <c r="Q17" s="45" t="s">
        <v>29</v>
      </c>
      <c r="R17" s="23" t="s">
        <v>89</v>
      </c>
      <c r="S17" s="30">
        <v>964100</v>
      </c>
      <c r="T17" s="45" t="s">
        <v>42</v>
      </c>
      <c r="U17" s="31">
        <v>0</v>
      </c>
      <c r="V17" s="31">
        <v>-1</v>
      </c>
      <c r="W17" s="32">
        <v>0</v>
      </c>
      <c r="X17" s="33">
        <v>0</v>
      </c>
    </row>
    <row r="18" spans="1:24" x14ac:dyDescent="0.3">
      <c r="A18" s="51" t="s">
        <v>844</v>
      </c>
      <c r="B18" s="45" t="s">
        <v>895</v>
      </c>
      <c r="C18" s="45" t="s">
        <v>899</v>
      </c>
      <c r="D18" s="45" t="s">
        <v>912</v>
      </c>
      <c r="E18" s="45" t="s">
        <v>968</v>
      </c>
      <c r="F18" s="24" t="str">
        <f>HYPERLINK("https://mapwv.gov/flood/map/?wkid=102100&amp;x=-8795107.235923188&amp;y=4779429.586578224&amp;l=13&amp;v=2","FT")</f>
        <v>FT</v>
      </c>
      <c r="G18" s="29" t="s">
        <v>31</v>
      </c>
      <c r="H18" s="29" t="s">
        <v>24</v>
      </c>
      <c r="I18" s="45" t="s">
        <v>1026</v>
      </c>
      <c r="J18" s="22" t="s">
        <v>25</v>
      </c>
      <c r="K18" s="46" t="s">
        <v>77</v>
      </c>
      <c r="L18" s="46" t="s">
        <v>26</v>
      </c>
      <c r="M18" s="45" t="s">
        <v>56</v>
      </c>
      <c r="N18" s="3" t="s">
        <v>85</v>
      </c>
      <c r="O18" s="46" t="s">
        <v>87</v>
      </c>
      <c r="P18" s="45" t="s">
        <v>1084</v>
      </c>
      <c r="Q18" s="45" t="s">
        <v>29</v>
      </c>
      <c r="R18" s="23" t="s">
        <v>89</v>
      </c>
      <c r="S18" s="30">
        <v>963400</v>
      </c>
      <c r="T18" s="45" t="s">
        <v>42</v>
      </c>
      <c r="U18" s="31">
        <v>3.2172852000000001</v>
      </c>
      <c r="V18" s="31">
        <v>2.21728515625</v>
      </c>
      <c r="W18" s="32">
        <v>0.11</v>
      </c>
      <c r="X18" s="33">
        <v>105974</v>
      </c>
    </row>
    <row r="19" spans="1:24" x14ac:dyDescent="0.3">
      <c r="A19" s="51" t="s">
        <v>845</v>
      </c>
      <c r="B19" s="45" t="s">
        <v>895</v>
      </c>
      <c r="C19" s="45" t="s">
        <v>899</v>
      </c>
      <c r="D19" s="45" t="s">
        <v>913</v>
      </c>
      <c r="E19" s="45" t="s">
        <v>969</v>
      </c>
      <c r="F19" s="24" t="str">
        <f>HYPERLINK("https://mapwv.gov/flood/map/?wkid=102100&amp;x=-8793446.846273398&amp;y=4782393.729714487&amp;l=13&amp;v=2","FT")</f>
        <v>FT</v>
      </c>
      <c r="G19" s="29" t="s">
        <v>31</v>
      </c>
      <c r="H19" s="29" t="s">
        <v>138</v>
      </c>
      <c r="I19" s="45" t="s">
        <v>1027</v>
      </c>
      <c r="J19" s="22" t="s">
        <v>38</v>
      </c>
      <c r="K19" s="46" t="s">
        <v>96</v>
      </c>
      <c r="L19" s="46" t="s">
        <v>44</v>
      </c>
      <c r="M19" s="45" t="s">
        <v>27</v>
      </c>
      <c r="N19" s="3" t="s">
        <v>84</v>
      </c>
      <c r="O19" s="46" t="s">
        <v>87</v>
      </c>
      <c r="P19" s="45" t="s">
        <v>1085</v>
      </c>
      <c r="Q19" s="45" t="s">
        <v>29</v>
      </c>
      <c r="R19" s="23" t="s">
        <v>89</v>
      </c>
      <c r="S19" s="30">
        <v>929600</v>
      </c>
      <c r="T19" s="45" t="s">
        <v>42</v>
      </c>
      <c r="U19" s="31">
        <v>2.2428590000000002</v>
      </c>
      <c r="V19" s="31">
        <v>1.24285888671875</v>
      </c>
      <c r="W19" s="32">
        <v>5.7285766601562503E-2</v>
      </c>
      <c r="X19" s="33">
        <v>53252.8486328125</v>
      </c>
    </row>
    <row r="20" spans="1:24" x14ac:dyDescent="0.3">
      <c r="A20" s="51" t="s">
        <v>846</v>
      </c>
      <c r="B20" s="45" t="s">
        <v>896</v>
      </c>
      <c r="C20" s="45" t="s">
        <v>899</v>
      </c>
      <c r="D20" s="45" t="s">
        <v>914</v>
      </c>
      <c r="E20" s="45" t="s">
        <v>970</v>
      </c>
      <c r="F20" s="24" t="str">
        <f>HYPERLINK("https://mapwv.gov/flood/map/?wkid=102100&amp;x=-8791581.79340207&amp;y=4784875.330374396&amp;l=13&amp;v=2","FT")</f>
        <v>FT</v>
      </c>
      <c r="G20" s="29" t="s">
        <v>52</v>
      </c>
      <c r="H20" s="29" t="s">
        <v>24</v>
      </c>
      <c r="I20" s="45" t="s">
        <v>1028</v>
      </c>
      <c r="J20" s="22" t="s">
        <v>38</v>
      </c>
      <c r="K20" s="46" t="s">
        <v>1068</v>
      </c>
      <c r="L20" s="46" t="s">
        <v>26</v>
      </c>
      <c r="M20" s="45" t="s">
        <v>56</v>
      </c>
      <c r="N20" s="3" t="s">
        <v>85</v>
      </c>
      <c r="O20" s="46" t="s">
        <v>87</v>
      </c>
      <c r="P20" s="45" t="s">
        <v>1086</v>
      </c>
      <c r="Q20" s="45" t="s">
        <v>29</v>
      </c>
      <c r="R20" s="23" t="s">
        <v>89</v>
      </c>
      <c r="S20" s="30">
        <v>877010</v>
      </c>
      <c r="T20" s="45" t="s">
        <v>30</v>
      </c>
      <c r="U20" s="31">
        <v>0.85998534999999998</v>
      </c>
      <c r="V20" s="31">
        <v>-0.1400146484375</v>
      </c>
      <c r="W20" s="32">
        <v>0</v>
      </c>
      <c r="X20" s="33">
        <v>0</v>
      </c>
    </row>
    <row r="21" spans="1:24" x14ac:dyDescent="0.3">
      <c r="A21" s="51" t="s">
        <v>847</v>
      </c>
      <c r="B21" s="45" t="s">
        <v>895</v>
      </c>
      <c r="C21" s="45" t="s">
        <v>229</v>
      </c>
      <c r="D21" s="45" t="s">
        <v>915</v>
      </c>
      <c r="E21" s="45" t="s">
        <v>971</v>
      </c>
      <c r="F21" s="24" t="str">
        <f>HYPERLINK("https://mapwv.gov/flood/map/?wkid=102100&amp;x=-8784681.260582939&amp;y=4770226.789739461&amp;l=13&amp;v=2","FT")</f>
        <v>FT</v>
      </c>
      <c r="G21" s="29" t="s">
        <v>52</v>
      </c>
      <c r="H21" s="29" t="s">
        <v>24</v>
      </c>
      <c r="I21" s="45" t="s">
        <v>1029</v>
      </c>
      <c r="J21" s="22" t="s">
        <v>38</v>
      </c>
      <c r="K21" s="46" t="s">
        <v>154</v>
      </c>
      <c r="L21" s="46" t="s">
        <v>63</v>
      </c>
      <c r="M21" s="45" t="s">
        <v>27</v>
      </c>
      <c r="N21" s="3" t="s">
        <v>84</v>
      </c>
      <c r="O21" s="46" t="s">
        <v>88</v>
      </c>
      <c r="P21" s="45" t="s">
        <v>1087</v>
      </c>
      <c r="Q21" s="45" t="s">
        <v>29</v>
      </c>
      <c r="R21" s="23" t="s">
        <v>89</v>
      </c>
      <c r="S21" s="30">
        <v>634500</v>
      </c>
      <c r="T21" s="45" t="s">
        <v>30</v>
      </c>
      <c r="U21" s="31">
        <v>4.7126465</v>
      </c>
      <c r="V21" s="31">
        <v>3.712646484375</v>
      </c>
      <c r="W21" s="32">
        <v>0.13712646484374902</v>
      </c>
      <c r="X21" s="33">
        <v>87006.741943359302</v>
      </c>
    </row>
    <row r="22" spans="1:24" x14ac:dyDescent="0.3">
      <c r="A22" s="51" t="s">
        <v>848</v>
      </c>
      <c r="B22" s="45" t="s">
        <v>895</v>
      </c>
      <c r="C22" s="45" t="s">
        <v>900</v>
      </c>
      <c r="D22" s="45" t="s">
        <v>916</v>
      </c>
      <c r="E22" s="45" t="s">
        <v>972</v>
      </c>
      <c r="F22" s="24" t="str">
        <f>HYPERLINK("https://mapwv.gov/flood/map/?wkid=102100&amp;x=-8767023.061640512&amp;y=4795492.94099701&amp;l=13&amp;v=2","FT")</f>
        <v>FT</v>
      </c>
      <c r="G22" s="29" t="s">
        <v>37</v>
      </c>
      <c r="H22" s="29" t="s">
        <v>24</v>
      </c>
      <c r="I22" s="45" t="s">
        <v>1030</v>
      </c>
      <c r="J22" s="22" t="s">
        <v>25</v>
      </c>
      <c r="K22" s="46" t="s">
        <v>92</v>
      </c>
      <c r="L22" s="46" t="s">
        <v>26</v>
      </c>
      <c r="M22" s="45" t="s">
        <v>56</v>
      </c>
      <c r="N22" s="3" t="s">
        <v>85</v>
      </c>
      <c r="O22" s="46" t="s">
        <v>87</v>
      </c>
      <c r="P22" s="45" t="s">
        <v>1088</v>
      </c>
      <c r="Q22" s="45" t="s">
        <v>29</v>
      </c>
      <c r="R22" s="23" t="s">
        <v>89</v>
      </c>
      <c r="S22" s="30">
        <v>619760</v>
      </c>
      <c r="T22" s="45" t="s">
        <v>30</v>
      </c>
      <c r="U22" s="31">
        <v>0.91253660000000003</v>
      </c>
      <c r="V22" s="31">
        <v>-8.746337890625E-2</v>
      </c>
      <c r="W22" s="32">
        <v>0</v>
      </c>
      <c r="X22" s="33">
        <v>0</v>
      </c>
    </row>
    <row r="23" spans="1:24" x14ac:dyDescent="0.3">
      <c r="A23" s="51" t="s">
        <v>849</v>
      </c>
      <c r="B23" s="45" t="s">
        <v>895</v>
      </c>
      <c r="C23" s="45" t="s">
        <v>229</v>
      </c>
      <c r="D23" s="45" t="s">
        <v>917</v>
      </c>
      <c r="E23" s="45" t="s">
        <v>973</v>
      </c>
      <c r="F23" s="24" t="str">
        <f>HYPERLINK("https://mapwv.gov/flood/map/?wkid=102100&amp;x=-8784759.097174648&amp;y=4770218.442992331&amp;l=13&amp;v=2","FT")</f>
        <v>FT</v>
      </c>
      <c r="G23" s="29" t="s">
        <v>52</v>
      </c>
      <c r="H23" s="29" t="s">
        <v>24</v>
      </c>
      <c r="I23" s="45" t="s">
        <v>1031</v>
      </c>
      <c r="J23" s="22" t="s">
        <v>107</v>
      </c>
      <c r="K23" s="46" t="s">
        <v>134</v>
      </c>
      <c r="L23" s="46" t="s">
        <v>43</v>
      </c>
      <c r="M23" s="45" t="s">
        <v>45</v>
      </c>
      <c r="N23" s="3" t="s">
        <v>34</v>
      </c>
      <c r="O23" s="46" t="s">
        <v>87</v>
      </c>
      <c r="P23" s="45" t="s">
        <v>1089</v>
      </c>
      <c r="Q23" s="45" t="s">
        <v>29</v>
      </c>
      <c r="R23" s="23" t="s">
        <v>89</v>
      </c>
      <c r="S23" s="30">
        <v>603700</v>
      </c>
      <c r="T23" s="45" t="s">
        <v>42</v>
      </c>
      <c r="U23" s="31">
        <v>6.0684203999999999</v>
      </c>
      <c r="V23" s="31">
        <v>5.06842041015625</v>
      </c>
      <c r="W23" s="32">
        <v>0.20205261230468699</v>
      </c>
      <c r="X23" s="33">
        <v>121979.162048339</v>
      </c>
    </row>
    <row r="24" spans="1:24" x14ac:dyDescent="0.3">
      <c r="A24" s="51" t="s">
        <v>850</v>
      </c>
      <c r="B24" s="45" t="s">
        <v>895</v>
      </c>
      <c r="C24" s="45" t="s">
        <v>229</v>
      </c>
      <c r="D24" s="45" t="s">
        <v>918</v>
      </c>
      <c r="E24" s="45" t="s">
        <v>974</v>
      </c>
      <c r="F24" s="24" t="str">
        <f>HYPERLINK("https://mapwv.gov/flood/map/?wkid=102100&amp;x=-8783675.296734858&amp;y=4769938.251583621&amp;l=13&amp;v=2","FT")</f>
        <v>FT</v>
      </c>
      <c r="G24" s="29" t="s">
        <v>52</v>
      </c>
      <c r="H24" s="29" t="s">
        <v>24</v>
      </c>
      <c r="I24" s="45" t="s">
        <v>1032</v>
      </c>
      <c r="J24" s="22" t="s">
        <v>107</v>
      </c>
      <c r="K24" s="46" t="s">
        <v>73</v>
      </c>
      <c r="L24" s="46"/>
      <c r="M24" s="45" t="s">
        <v>62</v>
      </c>
      <c r="N24" s="3" t="s">
        <v>84</v>
      </c>
      <c r="O24" s="46" t="s">
        <v>87</v>
      </c>
      <c r="P24" s="45" t="s">
        <v>1090</v>
      </c>
      <c r="Q24" s="45" t="s">
        <v>29</v>
      </c>
      <c r="R24" s="23" t="s">
        <v>89</v>
      </c>
      <c r="S24" s="30">
        <v>571520</v>
      </c>
      <c r="T24" s="45" t="s">
        <v>30</v>
      </c>
      <c r="U24" s="31">
        <v>4.0473021999999998</v>
      </c>
      <c r="V24" s="31">
        <v>3.04730224609375</v>
      </c>
      <c r="W24" s="32">
        <v>0.110473022460937</v>
      </c>
      <c r="X24" s="33">
        <v>63137.541796874997</v>
      </c>
    </row>
    <row r="25" spans="1:24" x14ac:dyDescent="0.3">
      <c r="A25" s="51" t="s">
        <v>851</v>
      </c>
      <c r="B25" s="45" t="s">
        <v>896</v>
      </c>
      <c r="C25" s="45" t="s">
        <v>899</v>
      </c>
      <c r="D25" s="45" t="s">
        <v>919</v>
      </c>
      <c r="E25" s="45" t="s">
        <v>975</v>
      </c>
      <c r="F25" s="24" t="str">
        <f>HYPERLINK("https://mapwv.gov/flood/map/?wkid=102100&amp;x=-8791463.499522544&amp;y=4784893.504791809&amp;l=13&amp;v=2","FT")</f>
        <v>FT</v>
      </c>
      <c r="G25" s="29" t="s">
        <v>52</v>
      </c>
      <c r="H25" s="29" t="s">
        <v>24</v>
      </c>
      <c r="I25" s="45" t="s">
        <v>1033</v>
      </c>
      <c r="J25" s="22" t="s">
        <v>38</v>
      </c>
      <c r="K25" s="46" t="s">
        <v>81</v>
      </c>
      <c r="L25" s="46" t="s">
        <v>26</v>
      </c>
      <c r="M25" s="45" t="s">
        <v>147</v>
      </c>
      <c r="N25" s="3" t="s">
        <v>34</v>
      </c>
      <c r="O25" s="46" t="s">
        <v>88</v>
      </c>
      <c r="P25" s="45" t="s">
        <v>1091</v>
      </c>
      <c r="Q25" s="45" t="s">
        <v>29</v>
      </c>
      <c r="R25" s="23" t="s">
        <v>89</v>
      </c>
      <c r="S25" s="30">
        <v>553500</v>
      </c>
      <c r="T25" s="45" t="s">
        <v>42</v>
      </c>
      <c r="U25" s="31">
        <v>1.1666259999999999</v>
      </c>
      <c r="V25" s="31">
        <v>0.1666259765625</v>
      </c>
      <c r="W25" s="32">
        <v>1.8328857421875001E-2</v>
      </c>
      <c r="X25" s="33">
        <v>10145.0225830078</v>
      </c>
    </row>
    <row r="26" spans="1:24" x14ac:dyDescent="0.3">
      <c r="A26" s="51" t="s">
        <v>852</v>
      </c>
      <c r="B26" s="45" t="s">
        <v>895</v>
      </c>
      <c r="C26" s="45" t="s">
        <v>229</v>
      </c>
      <c r="D26" s="45" t="s">
        <v>915</v>
      </c>
      <c r="E26" s="45" t="s">
        <v>976</v>
      </c>
      <c r="F26" s="24" t="str">
        <f>HYPERLINK("https://mapwv.gov/flood/map/?wkid=102100&amp;x=-8784623.287507199&amp;y=4770243.136810015&amp;l=13&amp;v=2","FT")</f>
        <v>FT</v>
      </c>
      <c r="G26" s="29" t="s">
        <v>52</v>
      </c>
      <c r="H26" s="29" t="s">
        <v>24</v>
      </c>
      <c r="I26" s="45" t="s">
        <v>1029</v>
      </c>
      <c r="J26" s="22" t="s">
        <v>38</v>
      </c>
      <c r="K26" s="46" t="s">
        <v>154</v>
      </c>
      <c r="L26" s="46" t="s">
        <v>63</v>
      </c>
      <c r="M26" s="45" t="s">
        <v>27</v>
      </c>
      <c r="N26" s="3" t="s">
        <v>84</v>
      </c>
      <c r="O26" s="46" t="s">
        <v>88</v>
      </c>
      <c r="P26" s="45" t="s">
        <v>1092</v>
      </c>
      <c r="Q26" s="45" t="s">
        <v>29</v>
      </c>
      <c r="R26" s="23" t="s">
        <v>89</v>
      </c>
      <c r="S26" s="30">
        <v>532400</v>
      </c>
      <c r="T26" s="45" t="s">
        <v>30</v>
      </c>
      <c r="U26" s="31">
        <v>4.8636474999999999</v>
      </c>
      <c r="V26" s="31">
        <v>3.8636474609375</v>
      </c>
      <c r="W26" s="32">
        <v>0.138636474609375</v>
      </c>
      <c r="X26" s="33">
        <v>73810.059082031206</v>
      </c>
    </row>
    <row r="27" spans="1:24" x14ac:dyDescent="0.3">
      <c r="A27" s="51" t="s">
        <v>853</v>
      </c>
      <c r="B27" s="45" t="s">
        <v>895</v>
      </c>
      <c r="C27" s="45" t="s">
        <v>899</v>
      </c>
      <c r="D27" s="45" t="s">
        <v>920</v>
      </c>
      <c r="E27" s="45" t="s">
        <v>977</v>
      </c>
      <c r="F27" s="24" t="str">
        <f>HYPERLINK("https://mapwv.gov/flood/map/?wkid=102100&amp;x=-8794571.328643734&amp;y=4780224.443954342&amp;l=13&amp;v=2","FT")</f>
        <v>FT</v>
      </c>
      <c r="G27" s="29" t="s">
        <v>31</v>
      </c>
      <c r="H27" s="29" t="s">
        <v>24</v>
      </c>
      <c r="I27" s="45" t="s">
        <v>1034</v>
      </c>
      <c r="J27" s="22" t="s">
        <v>25</v>
      </c>
      <c r="K27" s="46" t="s">
        <v>99</v>
      </c>
      <c r="L27" s="46" t="s">
        <v>46</v>
      </c>
      <c r="M27" s="45" t="s">
        <v>45</v>
      </c>
      <c r="N27" s="3" t="s">
        <v>34</v>
      </c>
      <c r="O27" s="46" t="s">
        <v>87</v>
      </c>
      <c r="P27" s="45" t="s">
        <v>1093</v>
      </c>
      <c r="Q27" s="45" t="s">
        <v>29</v>
      </c>
      <c r="R27" s="23" t="s">
        <v>89</v>
      </c>
      <c r="S27" s="30">
        <v>495300</v>
      </c>
      <c r="T27" s="45" t="s">
        <v>42</v>
      </c>
      <c r="U27" s="31">
        <v>5.9838256999999997</v>
      </c>
      <c r="V27" s="31">
        <v>4.98382568359375</v>
      </c>
      <c r="W27" s="32">
        <v>0.199676513671875</v>
      </c>
      <c r="X27" s="33">
        <v>98899.7772216796</v>
      </c>
    </row>
    <row r="28" spans="1:24" x14ac:dyDescent="0.3">
      <c r="A28" s="51" t="s">
        <v>854</v>
      </c>
      <c r="B28" s="45" t="s">
        <v>896</v>
      </c>
      <c r="C28" s="45" t="s">
        <v>899</v>
      </c>
      <c r="D28" s="45" t="s">
        <v>921</v>
      </c>
      <c r="E28" s="45" t="s">
        <v>978</v>
      </c>
      <c r="F28" s="24" t="str">
        <f>HYPERLINK("https://mapwv.gov/flood/map/?wkid=102100&amp;x=-8791850.275085807&amp;y=4784502.272796087&amp;l=13&amp;v=2","FT")</f>
        <v>FT</v>
      </c>
      <c r="G28" s="29" t="s">
        <v>52</v>
      </c>
      <c r="H28" s="29" t="s">
        <v>24</v>
      </c>
      <c r="I28" s="45" t="s">
        <v>1035</v>
      </c>
      <c r="J28" s="22" t="s">
        <v>38</v>
      </c>
      <c r="K28" s="46" t="s">
        <v>130</v>
      </c>
      <c r="L28" s="46" t="s">
        <v>26</v>
      </c>
      <c r="M28" s="45" t="s">
        <v>56</v>
      </c>
      <c r="N28" s="3" t="s">
        <v>85</v>
      </c>
      <c r="O28" s="46" t="s">
        <v>87</v>
      </c>
      <c r="P28" s="45" t="s">
        <v>1094</v>
      </c>
      <c r="Q28" s="45" t="s">
        <v>29</v>
      </c>
      <c r="R28" s="23" t="s">
        <v>89</v>
      </c>
      <c r="S28" s="30">
        <v>485760</v>
      </c>
      <c r="T28" s="45" t="s">
        <v>30</v>
      </c>
      <c r="U28" s="31">
        <v>2.2148438000000001</v>
      </c>
      <c r="V28" s="31">
        <v>1.21484375</v>
      </c>
      <c r="W28" s="32">
        <v>0.10214843749999999</v>
      </c>
      <c r="X28" s="33">
        <v>49619.625</v>
      </c>
    </row>
    <row r="29" spans="1:24" x14ac:dyDescent="0.3">
      <c r="A29" s="51" t="s">
        <v>855</v>
      </c>
      <c r="B29" s="45" t="s">
        <v>895</v>
      </c>
      <c r="C29" s="45" t="s">
        <v>899</v>
      </c>
      <c r="D29" s="45" t="s">
        <v>922</v>
      </c>
      <c r="E29" s="45" t="s">
        <v>979</v>
      </c>
      <c r="F29" s="24" t="str">
        <f>HYPERLINK("https://mapwv.gov/flood/map/?wkid=102100&amp;x=-8796782.19985467&amp;y=4776746.187275203&amp;l=13&amp;v=2","FT")</f>
        <v>FT</v>
      </c>
      <c r="G29" s="29" t="s">
        <v>31</v>
      </c>
      <c r="H29" s="29" t="s">
        <v>24</v>
      </c>
      <c r="I29" s="45" t="s">
        <v>1036</v>
      </c>
      <c r="J29" s="22" t="s">
        <v>25</v>
      </c>
      <c r="K29" s="46" t="s">
        <v>82</v>
      </c>
      <c r="L29" s="46"/>
      <c r="M29" s="45" t="s">
        <v>62</v>
      </c>
      <c r="N29" s="3" t="s">
        <v>84</v>
      </c>
      <c r="O29" s="46" t="s">
        <v>87</v>
      </c>
      <c r="P29" s="45" t="s">
        <v>1095</v>
      </c>
      <c r="Q29" s="45" t="s">
        <v>29</v>
      </c>
      <c r="R29" s="23" t="s">
        <v>89</v>
      </c>
      <c r="S29" s="30">
        <v>442660</v>
      </c>
      <c r="T29" s="45" t="s">
        <v>30</v>
      </c>
      <c r="U29" s="31">
        <v>0.62469479999999999</v>
      </c>
      <c r="V29" s="31">
        <v>-0.37530517578125</v>
      </c>
      <c r="W29" s="32">
        <v>0</v>
      </c>
      <c r="X29" s="33">
        <v>0</v>
      </c>
    </row>
    <row r="30" spans="1:24" x14ac:dyDescent="0.3">
      <c r="A30" s="51" t="s">
        <v>856</v>
      </c>
      <c r="B30" s="45" t="s">
        <v>895</v>
      </c>
      <c r="C30" s="45" t="s">
        <v>899</v>
      </c>
      <c r="D30" s="45" t="s">
        <v>923</v>
      </c>
      <c r="E30" s="45" t="s">
        <v>980</v>
      </c>
      <c r="F30" s="24" t="str">
        <f>HYPERLINK("https://mapwv.gov/flood/map/?wkid=102100&amp;x=-8794468.027273225&amp;y=4780679.370547947&amp;l=13&amp;v=2","FT")</f>
        <v>FT</v>
      </c>
      <c r="G30" s="29" t="s">
        <v>31</v>
      </c>
      <c r="H30" s="29" t="s">
        <v>24</v>
      </c>
      <c r="I30" s="45" t="s">
        <v>1037</v>
      </c>
      <c r="J30" s="22" t="s">
        <v>38</v>
      </c>
      <c r="K30" s="46" t="s">
        <v>155</v>
      </c>
      <c r="L30" s="46" t="s">
        <v>26</v>
      </c>
      <c r="M30" s="45" t="s">
        <v>60</v>
      </c>
      <c r="N30" s="3" t="s">
        <v>40</v>
      </c>
      <c r="O30" s="46" t="s">
        <v>88</v>
      </c>
      <c r="P30" s="45" t="s">
        <v>1096</v>
      </c>
      <c r="Q30" s="45" t="s">
        <v>29</v>
      </c>
      <c r="R30" s="23" t="s">
        <v>89</v>
      </c>
      <c r="S30" s="30">
        <v>439500</v>
      </c>
      <c r="T30" s="45" t="s">
        <v>42</v>
      </c>
      <c r="U30" s="31">
        <v>2.6338499999999998</v>
      </c>
      <c r="V30" s="31">
        <v>1.63385009765625</v>
      </c>
      <c r="W30" s="32">
        <v>4.2677001953125002E-2</v>
      </c>
      <c r="X30" s="33">
        <v>18756.542358398401</v>
      </c>
    </row>
    <row r="31" spans="1:24" x14ac:dyDescent="0.3">
      <c r="A31" s="51" t="s">
        <v>857</v>
      </c>
      <c r="B31" s="45" t="s">
        <v>895</v>
      </c>
      <c r="C31" s="45" t="s">
        <v>899</v>
      </c>
      <c r="D31" s="45" t="s">
        <v>905</v>
      </c>
      <c r="E31" s="45" t="s">
        <v>981</v>
      </c>
      <c r="F31" s="24" t="str">
        <f>HYPERLINK("https://mapwv.gov/flood/map/?wkid=102100&amp;x=-8794539.20629147&amp;y=4780358.0966103505&amp;l=13&amp;v=2","FT")</f>
        <v>FT</v>
      </c>
      <c r="G31" s="29" t="s">
        <v>31</v>
      </c>
      <c r="H31" s="29" t="s">
        <v>24</v>
      </c>
      <c r="I31" s="45" t="s">
        <v>1020</v>
      </c>
      <c r="J31" s="22" t="s">
        <v>25</v>
      </c>
      <c r="K31" s="46" t="s">
        <v>100</v>
      </c>
      <c r="L31" s="46" t="s">
        <v>48</v>
      </c>
      <c r="M31" s="45" t="s">
        <v>1071</v>
      </c>
      <c r="N31" s="3" t="s">
        <v>34</v>
      </c>
      <c r="O31" s="46" t="s">
        <v>87</v>
      </c>
      <c r="P31" s="45" t="s">
        <v>1097</v>
      </c>
      <c r="Q31" s="45" t="s">
        <v>29</v>
      </c>
      <c r="R31" s="23" t="s">
        <v>89</v>
      </c>
      <c r="S31" s="30">
        <v>428500</v>
      </c>
      <c r="T31" s="45" t="s">
        <v>30</v>
      </c>
      <c r="U31" s="31">
        <v>2.3322143999999998</v>
      </c>
      <c r="V31" s="31">
        <v>1.33221435546875</v>
      </c>
      <c r="W31" s="32">
        <v>0</v>
      </c>
      <c r="X31" s="33">
        <v>0</v>
      </c>
    </row>
    <row r="32" spans="1:24" x14ac:dyDescent="0.3">
      <c r="A32" s="51" t="s">
        <v>858</v>
      </c>
      <c r="B32" s="45" t="s">
        <v>896</v>
      </c>
      <c r="C32" s="45" t="s">
        <v>899</v>
      </c>
      <c r="D32" s="45" t="s">
        <v>924</v>
      </c>
      <c r="E32" s="45" t="s">
        <v>982</v>
      </c>
      <c r="F32" s="24" t="str">
        <f>HYPERLINK("https://mapwv.gov/flood/map/?wkid=102100&amp;x=-8791234.01327908&amp;y=4784828.12824197&amp;l=13&amp;v=2","FT")</f>
        <v>FT</v>
      </c>
      <c r="G32" s="29" t="s">
        <v>31</v>
      </c>
      <c r="H32" s="29" t="s">
        <v>24</v>
      </c>
      <c r="I32" s="45" t="s">
        <v>1038</v>
      </c>
      <c r="J32" s="22" t="s">
        <v>38</v>
      </c>
      <c r="K32" s="46" t="s">
        <v>75</v>
      </c>
      <c r="L32" s="46"/>
      <c r="M32" s="45" t="s">
        <v>62</v>
      </c>
      <c r="N32" s="3" t="s">
        <v>84</v>
      </c>
      <c r="O32" s="46" t="s">
        <v>87</v>
      </c>
      <c r="P32" s="45" t="s">
        <v>1098</v>
      </c>
      <c r="Q32" s="45" t="s">
        <v>29</v>
      </c>
      <c r="R32" s="23" t="s">
        <v>89</v>
      </c>
      <c r="S32" s="30">
        <v>412300</v>
      </c>
      <c r="T32" s="45" t="s">
        <v>30</v>
      </c>
      <c r="U32" s="31">
        <v>6.3259889999999999</v>
      </c>
      <c r="V32" s="31">
        <v>5.32598876953125</v>
      </c>
      <c r="W32" s="32">
        <v>0.156519775390625</v>
      </c>
      <c r="X32" s="33">
        <v>64533.1033935546</v>
      </c>
    </row>
    <row r="33" spans="1:24" x14ac:dyDescent="0.3">
      <c r="A33" s="51" t="s">
        <v>859</v>
      </c>
      <c r="B33" s="45" t="s">
        <v>896</v>
      </c>
      <c r="C33" s="45" t="s">
        <v>899</v>
      </c>
      <c r="D33" s="45" t="s">
        <v>925</v>
      </c>
      <c r="E33" s="45" t="s">
        <v>983</v>
      </c>
      <c r="F33" s="24" t="str">
        <f>HYPERLINK("https://mapwv.gov/flood/map/?wkid=102100&amp;x=-8791422.924792664&amp;y=4784945.124197001&amp;l=13&amp;v=2","FT")</f>
        <v>FT</v>
      </c>
      <c r="G33" s="29" t="s">
        <v>52</v>
      </c>
      <c r="H33" s="29" t="s">
        <v>24</v>
      </c>
      <c r="I33" s="45" t="s">
        <v>1039</v>
      </c>
      <c r="J33" s="22" t="s">
        <v>38</v>
      </c>
      <c r="K33" s="46" t="s">
        <v>98</v>
      </c>
      <c r="L33" s="46" t="s">
        <v>26</v>
      </c>
      <c r="M33" s="45" t="s">
        <v>54</v>
      </c>
      <c r="N33" s="3" t="s">
        <v>34</v>
      </c>
      <c r="O33" s="46" t="s">
        <v>88</v>
      </c>
      <c r="P33" s="45" t="s">
        <v>1099</v>
      </c>
      <c r="Q33" s="45" t="s">
        <v>29</v>
      </c>
      <c r="R33" s="23" t="s">
        <v>89</v>
      </c>
      <c r="S33" s="30">
        <v>399600</v>
      </c>
      <c r="T33" s="45" t="s">
        <v>42</v>
      </c>
      <c r="U33" s="31">
        <v>0.93780520000000001</v>
      </c>
      <c r="V33" s="31">
        <v>-6.219482421875E-2</v>
      </c>
      <c r="W33" s="32">
        <v>1.8756103515625001E-2</v>
      </c>
      <c r="X33" s="33">
        <v>7494.93896484375</v>
      </c>
    </row>
    <row r="34" spans="1:24" x14ac:dyDescent="0.3">
      <c r="A34" s="51" t="s">
        <v>860</v>
      </c>
      <c r="B34" s="45" t="s">
        <v>895</v>
      </c>
      <c r="C34" s="45" t="s">
        <v>899</v>
      </c>
      <c r="D34" s="45" t="s">
        <v>926</v>
      </c>
      <c r="E34" s="45" t="s">
        <v>984</v>
      </c>
      <c r="F34" s="24" t="str">
        <f>HYPERLINK("https://mapwv.gov/flood/map/?wkid=102100&amp;x=-8794416.237661246&amp;y=4780779.90826966&amp;l=13&amp;v=2","FT")</f>
        <v>FT</v>
      </c>
      <c r="G34" s="29" t="s">
        <v>31</v>
      </c>
      <c r="H34" s="29" t="s">
        <v>24</v>
      </c>
      <c r="I34" s="45" t="s">
        <v>1040</v>
      </c>
      <c r="J34" s="22" t="s">
        <v>25</v>
      </c>
      <c r="K34" s="46" t="s">
        <v>77</v>
      </c>
      <c r="L34" s="46" t="s">
        <v>55</v>
      </c>
      <c r="M34" s="45" t="s">
        <v>45</v>
      </c>
      <c r="N34" s="3" t="s">
        <v>34</v>
      </c>
      <c r="O34" s="46" t="s">
        <v>87</v>
      </c>
      <c r="P34" s="45" t="s">
        <v>1100</v>
      </c>
      <c r="Q34" s="45" t="s">
        <v>29</v>
      </c>
      <c r="R34" s="23" t="s">
        <v>89</v>
      </c>
      <c r="S34" s="30">
        <v>386700</v>
      </c>
      <c r="T34" s="45" t="s">
        <v>42</v>
      </c>
      <c r="U34" s="31">
        <v>3.1210327000000002</v>
      </c>
      <c r="V34" s="31">
        <v>2.12103271484375</v>
      </c>
      <c r="W34" s="32">
        <v>0.142420654296875</v>
      </c>
      <c r="X34" s="33">
        <v>55074.067016601497</v>
      </c>
    </row>
    <row r="35" spans="1:24" x14ac:dyDescent="0.3">
      <c r="A35" s="51" t="s">
        <v>861</v>
      </c>
      <c r="B35" s="45" t="s">
        <v>897</v>
      </c>
      <c r="C35" s="45" t="s">
        <v>898</v>
      </c>
      <c r="D35" s="45" t="s">
        <v>927</v>
      </c>
      <c r="E35" s="45" t="s">
        <v>985</v>
      </c>
      <c r="F35" s="24" t="str">
        <f>HYPERLINK("https://mapwv.gov/flood/map/?wkid=102100&amp;x=-8799678.31121556&amp;y=4791083.732701515&amp;l=13&amp;v=2","FT")</f>
        <v>FT</v>
      </c>
      <c r="G35" s="29" t="s">
        <v>31</v>
      </c>
      <c r="H35" s="29" t="s">
        <v>24</v>
      </c>
      <c r="I35" s="45" t="s">
        <v>1041</v>
      </c>
      <c r="J35" s="22" t="s">
        <v>38</v>
      </c>
      <c r="K35" s="46" t="s">
        <v>142</v>
      </c>
      <c r="L35" s="46" t="s">
        <v>26</v>
      </c>
      <c r="M35" s="45" t="s">
        <v>56</v>
      </c>
      <c r="N35" s="3" t="s">
        <v>85</v>
      </c>
      <c r="O35" s="46" t="s">
        <v>87</v>
      </c>
      <c r="P35" s="45" t="s">
        <v>1101</v>
      </c>
      <c r="Q35" s="45" t="s">
        <v>29</v>
      </c>
      <c r="R35" s="23" t="s">
        <v>89</v>
      </c>
      <c r="S35" s="30">
        <v>354710</v>
      </c>
      <c r="T35" s="45" t="s">
        <v>30</v>
      </c>
      <c r="U35" s="31">
        <v>0</v>
      </c>
      <c r="V35" s="31">
        <v>-1</v>
      </c>
      <c r="W35" s="32">
        <v>0</v>
      </c>
      <c r="X35" s="33">
        <v>0</v>
      </c>
    </row>
    <row r="36" spans="1:24" x14ac:dyDescent="0.3">
      <c r="A36" s="51" t="s">
        <v>862</v>
      </c>
      <c r="B36" s="45" t="s">
        <v>895</v>
      </c>
      <c r="C36" s="45" t="s">
        <v>899</v>
      </c>
      <c r="D36" s="45" t="s">
        <v>928</v>
      </c>
      <c r="E36" s="45" t="s">
        <v>986</v>
      </c>
      <c r="F36" s="24" t="str">
        <f>HYPERLINK("https://mapwv.gov/flood/map/?wkid=102100&amp;x=-8793035.592110708&amp;y=4783204.378314153&amp;l=13&amp;v=2","FT")</f>
        <v>FT</v>
      </c>
      <c r="G36" s="29" t="s">
        <v>52</v>
      </c>
      <c r="H36" s="29" t="s">
        <v>24</v>
      </c>
      <c r="I36" s="45" t="s">
        <v>1042</v>
      </c>
      <c r="J36" s="22" t="s">
        <v>107</v>
      </c>
      <c r="K36" s="46" t="s">
        <v>76</v>
      </c>
      <c r="L36" s="46" t="s">
        <v>26</v>
      </c>
      <c r="M36" s="45" t="s">
        <v>45</v>
      </c>
      <c r="N36" s="3" t="s">
        <v>34</v>
      </c>
      <c r="O36" s="46" t="s">
        <v>87</v>
      </c>
      <c r="P36" s="45" t="s">
        <v>1102</v>
      </c>
      <c r="Q36" s="45" t="s">
        <v>29</v>
      </c>
      <c r="R36" s="23" t="s">
        <v>89</v>
      </c>
      <c r="S36" s="30">
        <v>354600</v>
      </c>
      <c r="T36" s="45" t="s">
        <v>42</v>
      </c>
      <c r="U36" s="31">
        <v>0.24853516</v>
      </c>
      <c r="V36" s="31">
        <v>-0.75146484375</v>
      </c>
      <c r="W36" s="32">
        <v>2.4853515624999999E-3</v>
      </c>
      <c r="X36" s="33">
        <v>881.3056640625</v>
      </c>
    </row>
    <row r="37" spans="1:24" x14ac:dyDescent="0.3">
      <c r="A37" s="51" t="s">
        <v>863</v>
      </c>
      <c r="B37" s="45" t="s">
        <v>895</v>
      </c>
      <c r="C37" s="45" t="s">
        <v>229</v>
      </c>
      <c r="D37" s="45" t="s">
        <v>929</v>
      </c>
      <c r="E37" s="45" t="s">
        <v>987</v>
      </c>
      <c r="F37" s="24" t="str">
        <f>HYPERLINK("https://mapwv.gov/flood/map/?wkid=102100&amp;x=-8768919.712771941&amp;y=4794405.528090802&amp;l=13&amp;v=2","FT")</f>
        <v>FT</v>
      </c>
      <c r="G37" s="29" t="s">
        <v>31</v>
      </c>
      <c r="H37" s="29" t="s">
        <v>24</v>
      </c>
      <c r="I37" s="45" t="s">
        <v>1043</v>
      </c>
      <c r="J37" s="22" t="s">
        <v>38</v>
      </c>
      <c r="K37" s="46" t="s">
        <v>126</v>
      </c>
      <c r="L37" s="46" t="s">
        <v>51</v>
      </c>
      <c r="M37" s="45" t="s">
        <v>45</v>
      </c>
      <c r="N37" s="3" t="s">
        <v>34</v>
      </c>
      <c r="O37" s="46" t="s">
        <v>87</v>
      </c>
      <c r="P37" s="45" t="s">
        <v>1103</v>
      </c>
      <c r="Q37" s="45" t="s">
        <v>29</v>
      </c>
      <c r="R37" s="23" t="s">
        <v>89</v>
      </c>
      <c r="S37" s="30">
        <v>352800</v>
      </c>
      <c r="T37" s="45" t="s">
        <v>42</v>
      </c>
      <c r="U37" s="31">
        <v>0.66192627000000004</v>
      </c>
      <c r="V37" s="31">
        <v>-0.33807373046875</v>
      </c>
      <c r="W37" s="32">
        <v>6.6192626953125002E-3</v>
      </c>
      <c r="X37" s="33">
        <v>2335.27587890625</v>
      </c>
    </row>
    <row r="38" spans="1:24" x14ac:dyDescent="0.3">
      <c r="A38" s="51" t="s">
        <v>864</v>
      </c>
      <c r="B38" s="45" t="s">
        <v>895</v>
      </c>
      <c r="C38" s="45" t="s">
        <v>899</v>
      </c>
      <c r="D38" s="45" t="s">
        <v>930</v>
      </c>
      <c r="E38" s="45" t="s">
        <v>988</v>
      </c>
      <c r="F38" s="24" t="str">
        <f>HYPERLINK("https://mapwv.gov/flood/map/?wkid=102100&amp;x=-8794312.030038765&amp;y=4780947.731912317&amp;l=13&amp;v=2","FT")</f>
        <v>FT</v>
      </c>
      <c r="G38" s="29" t="s">
        <v>31</v>
      </c>
      <c r="H38" s="29" t="s">
        <v>24</v>
      </c>
      <c r="I38" s="45"/>
      <c r="J38" s="22" t="s">
        <v>35</v>
      </c>
      <c r="K38" s="46" t="s">
        <v>74</v>
      </c>
      <c r="L38" s="46"/>
      <c r="M38" s="45" t="s">
        <v>53</v>
      </c>
      <c r="N38" s="3" t="s">
        <v>34</v>
      </c>
      <c r="O38" s="46" t="s">
        <v>87</v>
      </c>
      <c r="P38" s="45" t="s">
        <v>1104</v>
      </c>
      <c r="Q38" s="45" t="s">
        <v>29</v>
      </c>
      <c r="R38" s="23" t="s">
        <v>89</v>
      </c>
      <c r="S38" s="30">
        <v>339780</v>
      </c>
      <c r="T38" s="45" t="s">
        <v>91</v>
      </c>
      <c r="U38" s="31">
        <v>0</v>
      </c>
      <c r="V38" s="31">
        <v>-1</v>
      </c>
      <c r="W38" s="32">
        <v>0</v>
      </c>
      <c r="X38" s="33">
        <v>0</v>
      </c>
    </row>
    <row r="39" spans="1:24" x14ac:dyDescent="0.3">
      <c r="A39" s="51" t="s">
        <v>865</v>
      </c>
      <c r="B39" s="45" t="s">
        <v>895</v>
      </c>
      <c r="C39" s="45" t="s">
        <v>899</v>
      </c>
      <c r="D39" s="45" t="s">
        <v>931</v>
      </c>
      <c r="E39" s="45" t="s">
        <v>989</v>
      </c>
      <c r="F39" s="24" t="str">
        <f>HYPERLINK("https://mapwv.gov/flood/map/?wkid=102100&amp;x=-8794399.274463281&amp;y=4780636.312159441&amp;l=13&amp;v=2","FT")</f>
        <v>FT</v>
      </c>
      <c r="G39" s="29" t="s">
        <v>31</v>
      </c>
      <c r="H39" s="29" t="s">
        <v>138</v>
      </c>
      <c r="I39" s="45" t="s">
        <v>1044</v>
      </c>
      <c r="J39" s="22" t="s">
        <v>25</v>
      </c>
      <c r="K39" s="46" t="s">
        <v>82</v>
      </c>
      <c r="L39" s="46" t="s">
        <v>43</v>
      </c>
      <c r="M39" s="45" t="s">
        <v>147</v>
      </c>
      <c r="N39" s="3" t="s">
        <v>34</v>
      </c>
      <c r="O39" s="46" t="s">
        <v>87</v>
      </c>
      <c r="P39" s="45" t="s">
        <v>1105</v>
      </c>
      <c r="Q39" s="45" t="s">
        <v>29</v>
      </c>
      <c r="R39" s="23" t="s">
        <v>89</v>
      </c>
      <c r="S39" s="30">
        <v>334500</v>
      </c>
      <c r="T39" s="45" t="s">
        <v>42</v>
      </c>
      <c r="U39" s="31">
        <v>3.6486816000000002</v>
      </c>
      <c r="V39" s="31">
        <v>2.648681640625</v>
      </c>
      <c r="W39" s="32">
        <v>0.11648681640625</v>
      </c>
      <c r="X39" s="33">
        <v>38964.840087890603</v>
      </c>
    </row>
    <row r="40" spans="1:24" x14ac:dyDescent="0.3">
      <c r="A40" s="51" t="s">
        <v>866</v>
      </c>
      <c r="B40" s="45" t="s">
        <v>897</v>
      </c>
      <c r="C40" s="45" t="s">
        <v>898</v>
      </c>
      <c r="D40" s="45" t="s">
        <v>932</v>
      </c>
      <c r="E40" s="45" t="s">
        <v>990</v>
      </c>
      <c r="F40" s="24" t="str">
        <f>HYPERLINK("https://mapwv.gov/flood/map/?wkid=102100&amp;x=-8799566.89732584&amp;y=4791070.268895484&amp;l=13&amp;v=2","FT")</f>
        <v>FT</v>
      </c>
      <c r="G40" s="29" t="s">
        <v>31</v>
      </c>
      <c r="H40" s="29" t="s">
        <v>24</v>
      </c>
      <c r="I40" s="45" t="s">
        <v>1023</v>
      </c>
      <c r="J40" s="22" t="s">
        <v>38</v>
      </c>
      <c r="K40" s="46" t="s">
        <v>130</v>
      </c>
      <c r="L40" s="46" t="s">
        <v>55</v>
      </c>
      <c r="M40" s="45" t="s">
        <v>1072</v>
      </c>
      <c r="N40" s="3" t="s">
        <v>40</v>
      </c>
      <c r="O40" s="46" t="s">
        <v>88</v>
      </c>
      <c r="P40" s="45" t="s">
        <v>1106</v>
      </c>
      <c r="Q40" s="45" t="s">
        <v>29</v>
      </c>
      <c r="R40" s="23" t="s">
        <v>89</v>
      </c>
      <c r="S40" s="30">
        <v>331300</v>
      </c>
      <c r="T40" s="45" t="s">
        <v>30</v>
      </c>
      <c r="U40" s="31">
        <v>0</v>
      </c>
      <c r="V40" s="31">
        <v>-1</v>
      </c>
      <c r="W40" s="32">
        <v>0</v>
      </c>
      <c r="X40" s="33">
        <v>0</v>
      </c>
    </row>
    <row r="41" spans="1:24" x14ac:dyDescent="0.3">
      <c r="A41" s="51" t="s">
        <v>867</v>
      </c>
      <c r="B41" s="45" t="s">
        <v>895</v>
      </c>
      <c r="C41" s="45" t="s">
        <v>901</v>
      </c>
      <c r="D41" s="45" t="s">
        <v>933</v>
      </c>
      <c r="E41" s="45" t="s">
        <v>991</v>
      </c>
      <c r="F41" s="24" t="str">
        <f>HYPERLINK("https://mapwv.gov/flood/map/?wkid=102100&amp;x=-8773466.642755441&amp;y=4799851.579900809&amp;l=13&amp;v=2","FT")</f>
        <v>FT</v>
      </c>
      <c r="G41" s="29" t="s">
        <v>37</v>
      </c>
      <c r="H41" s="29" t="s">
        <v>24</v>
      </c>
      <c r="I41" s="45" t="s">
        <v>1045</v>
      </c>
      <c r="J41" s="22" t="s">
        <v>25</v>
      </c>
      <c r="K41" s="46" t="s">
        <v>94</v>
      </c>
      <c r="L41" s="46"/>
      <c r="M41" s="45" t="s">
        <v>62</v>
      </c>
      <c r="N41" s="3" t="s">
        <v>84</v>
      </c>
      <c r="O41" s="46" t="s">
        <v>87</v>
      </c>
      <c r="P41" s="45" t="s">
        <v>1107</v>
      </c>
      <c r="Q41" s="45" t="s">
        <v>29</v>
      </c>
      <c r="R41" s="23" t="s">
        <v>89</v>
      </c>
      <c r="S41" s="30">
        <v>317900</v>
      </c>
      <c r="T41" s="45" t="s">
        <v>42</v>
      </c>
      <c r="U41" s="31">
        <v>1.7174072</v>
      </c>
      <c r="V41" s="31">
        <v>0.7174072265625</v>
      </c>
      <c r="W41" s="32">
        <v>5.0218505859374998E-2</v>
      </c>
      <c r="X41" s="33">
        <v>15964.4630126953</v>
      </c>
    </row>
    <row r="42" spans="1:24" x14ac:dyDescent="0.3">
      <c r="A42" s="51" t="s">
        <v>868</v>
      </c>
      <c r="B42" s="45" t="s">
        <v>897</v>
      </c>
      <c r="C42" s="45" t="s">
        <v>898</v>
      </c>
      <c r="D42" s="45" t="s">
        <v>934</v>
      </c>
      <c r="E42" s="45" t="s">
        <v>992</v>
      </c>
      <c r="F42" s="24" t="str">
        <f>HYPERLINK("https://mapwv.gov/flood/map/?wkid=102100&amp;x=-8799422.39338352&amp;y=4790857.220405867&amp;l=13&amp;v=2","FT")</f>
        <v>FT</v>
      </c>
      <c r="G42" s="29" t="s">
        <v>52</v>
      </c>
      <c r="H42" s="29" t="s">
        <v>24</v>
      </c>
      <c r="I42" s="45" t="s">
        <v>1046</v>
      </c>
      <c r="J42" s="22" t="s">
        <v>38</v>
      </c>
      <c r="K42" s="46" t="s">
        <v>144</v>
      </c>
      <c r="L42" s="46" t="s">
        <v>26</v>
      </c>
      <c r="M42" s="45" t="s">
        <v>147</v>
      </c>
      <c r="N42" s="3" t="s">
        <v>34</v>
      </c>
      <c r="O42" s="46" t="s">
        <v>87</v>
      </c>
      <c r="P42" s="45" t="s">
        <v>1108</v>
      </c>
      <c r="Q42" s="45" t="s">
        <v>29</v>
      </c>
      <c r="R42" s="23" t="s">
        <v>89</v>
      </c>
      <c r="S42" s="30">
        <v>314300</v>
      </c>
      <c r="T42" s="45" t="s">
        <v>42</v>
      </c>
      <c r="U42" s="31">
        <v>4.4738769999999997E-2</v>
      </c>
      <c r="V42" s="31">
        <v>-0.95526123046875</v>
      </c>
      <c r="W42" s="32">
        <v>0</v>
      </c>
      <c r="X42" s="33">
        <v>0</v>
      </c>
    </row>
    <row r="43" spans="1:24" x14ac:dyDescent="0.3">
      <c r="A43" s="51" t="s">
        <v>869</v>
      </c>
      <c r="B43" s="45" t="s">
        <v>895</v>
      </c>
      <c r="C43" s="45" t="s">
        <v>899</v>
      </c>
      <c r="D43" s="45" t="s">
        <v>935</v>
      </c>
      <c r="E43" s="45" t="s">
        <v>993</v>
      </c>
      <c r="F43" s="24" t="str">
        <f>HYPERLINK("https://mapwv.gov/flood/map/?wkid=102100&amp;x=-8794360.365406943&amp;y=4780833.676293047&amp;l=13&amp;v=2","FT")</f>
        <v>FT</v>
      </c>
      <c r="G43" s="29" t="s">
        <v>31</v>
      </c>
      <c r="H43" s="29" t="s">
        <v>24</v>
      </c>
      <c r="I43" s="45" t="s">
        <v>1047</v>
      </c>
      <c r="J43" s="22" t="s">
        <v>25</v>
      </c>
      <c r="K43" s="46" t="s">
        <v>124</v>
      </c>
      <c r="L43" s="46" t="s">
        <v>48</v>
      </c>
      <c r="M43" s="45" t="s">
        <v>53</v>
      </c>
      <c r="N43" s="3" t="s">
        <v>34</v>
      </c>
      <c r="O43" s="46" t="s">
        <v>87</v>
      </c>
      <c r="P43" s="45" t="s">
        <v>1109</v>
      </c>
      <c r="Q43" s="45" t="s">
        <v>29</v>
      </c>
      <c r="R43" s="23" t="s">
        <v>89</v>
      </c>
      <c r="S43" s="30">
        <v>310600</v>
      </c>
      <c r="T43" s="45" t="s">
        <v>42</v>
      </c>
      <c r="U43" s="31">
        <v>2.5737915</v>
      </c>
      <c r="V43" s="31">
        <v>1.57379150390625</v>
      </c>
      <c r="W43" s="32">
        <v>0.115737915039062</v>
      </c>
      <c r="X43" s="33">
        <v>35948.196411132798</v>
      </c>
    </row>
    <row r="44" spans="1:24" x14ac:dyDescent="0.3">
      <c r="A44" s="51" t="s">
        <v>870</v>
      </c>
      <c r="B44" s="45" t="s">
        <v>895</v>
      </c>
      <c r="C44" s="45" t="s">
        <v>899</v>
      </c>
      <c r="D44" s="45" t="s">
        <v>936</v>
      </c>
      <c r="E44" s="45" t="s">
        <v>994</v>
      </c>
      <c r="F44" s="24" t="str">
        <f>HYPERLINK("https://mapwv.gov/flood/map/?wkid=102100&amp;x=-8797537.654439487&amp;y=4775317.360037754&amp;l=13&amp;v=2","FT")</f>
        <v>FT</v>
      </c>
      <c r="G44" s="29" t="s">
        <v>31</v>
      </c>
      <c r="H44" s="29" t="s">
        <v>24</v>
      </c>
      <c r="I44" s="45" t="s">
        <v>1048</v>
      </c>
      <c r="J44" s="22" t="s">
        <v>38</v>
      </c>
      <c r="K44" s="46" t="s">
        <v>96</v>
      </c>
      <c r="L44" s="46" t="s">
        <v>26</v>
      </c>
      <c r="M44" s="45" t="s">
        <v>56</v>
      </c>
      <c r="N44" s="3" t="s">
        <v>85</v>
      </c>
      <c r="O44" s="46" t="s">
        <v>87</v>
      </c>
      <c r="P44" s="45" t="s">
        <v>1110</v>
      </c>
      <c r="Q44" s="45" t="s">
        <v>29</v>
      </c>
      <c r="R44" s="23" t="s">
        <v>89</v>
      </c>
      <c r="S44" s="30">
        <v>305390</v>
      </c>
      <c r="T44" s="45" t="s">
        <v>30</v>
      </c>
      <c r="U44" s="31">
        <v>6.7837524</v>
      </c>
      <c r="V44" s="31">
        <v>5.78375244140625</v>
      </c>
      <c r="W44" s="32">
        <v>0.12783752441406201</v>
      </c>
      <c r="X44" s="33">
        <v>39040.301580810497</v>
      </c>
    </row>
    <row r="45" spans="1:24" x14ac:dyDescent="0.3">
      <c r="A45" s="51" t="s">
        <v>871</v>
      </c>
      <c r="B45" s="45" t="s">
        <v>895</v>
      </c>
      <c r="C45" s="45" t="s">
        <v>229</v>
      </c>
      <c r="D45" s="45" t="s">
        <v>937</v>
      </c>
      <c r="E45" s="45" t="s">
        <v>995</v>
      </c>
      <c r="F45" s="24" t="str">
        <f>HYPERLINK("https://mapwv.gov/flood/map/?wkid=102100&amp;x=-8768998.372237332&amp;y=4794580.505816179&amp;l=13&amp;v=2","FT")</f>
        <v>FT</v>
      </c>
      <c r="G45" s="29" t="s">
        <v>31</v>
      </c>
      <c r="H45" s="29" t="s">
        <v>24</v>
      </c>
      <c r="I45" s="45" t="s">
        <v>1049</v>
      </c>
      <c r="J45" s="22" t="s">
        <v>25</v>
      </c>
      <c r="K45" s="46" t="s">
        <v>79</v>
      </c>
      <c r="L45" s="46" t="s">
        <v>47</v>
      </c>
      <c r="M45" s="45" t="s">
        <v>45</v>
      </c>
      <c r="N45" s="3" t="s">
        <v>34</v>
      </c>
      <c r="O45" s="46" t="s">
        <v>87</v>
      </c>
      <c r="P45" s="45" t="s">
        <v>1111</v>
      </c>
      <c r="Q45" s="45" t="s">
        <v>29</v>
      </c>
      <c r="R45" s="23" t="s">
        <v>89</v>
      </c>
      <c r="S45" s="30">
        <v>304600</v>
      </c>
      <c r="T45" s="45" t="s">
        <v>42</v>
      </c>
      <c r="U45" s="31">
        <v>0.69555663999999995</v>
      </c>
      <c r="V45" s="31">
        <v>-0.304443359375</v>
      </c>
      <c r="W45" s="32">
        <v>6.9555664062499996E-3</v>
      </c>
      <c r="X45" s="33">
        <v>2118.66552734375</v>
      </c>
    </row>
    <row r="46" spans="1:24" x14ac:dyDescent="0.3">
      <c r="A46" s="51" t="s">
        <v>872</v>
      </c>
      <c r="B46" s="45" t="s">
        <v>895</v>
      </c>
      <c r="C46" s="45" t="s">
        <v>229</v>
      </c>
      <c r="D46" s="45" t="s">
        <v>938</v>
      </c>
      <c r="E46" s="45" t="s">
        <v>996</v>
      </c>
      <c r="F46" s="24" t="str">
        <f>HYPERLINK("https://mapwv.gov/flood/map/?wkid=102100&amp;x=-8784914.534806035&amp;y=4770170.539467505&amp;l=13&amp;v=2","FT")</f>
        <v>FT</v>
      </c>
      <c r="G46" s="29" t="s">
        <v>52</v>
      </c>
      <c r="H46" s="29" t="s">
        <v>24</v>
      </c>
      <c r="I46" s="45"/>
      <c r="J46" s="22" t="s">
        <v>35</v>
      </c>
      <c r="K46" s="46" t="s">
        <v>74</v>
      </c>
      <c r="L46" s="46"/>
      <c r="M46" s="45" t="s">
        <v>103</v>
      </c>
      <c r="N46" s="3" t="s">
        <v>34</v>
      </c>
      <c r="O46" s="46" t="s">
        <v>87</v>
      </c>
      <c r="P46" s="45" t="s">
        <v>1112</v>
      </c>
      <c r="Q46" s="45" t="s">
        <v>29</v>
      </c>
      <c r="R46" s="23" t="s">
        <v>89</v>
      </c>
      <c r="S46" s="30">
        <v>301460</v>
      </c>
      <c r="T46" s="45" t="s">
        <v>91</v>
      </c>
      <c r="U46" s="31">
        <v>3.3550415</v>
      </c>
      <c r="V46" s="31">
        <v>2.35504150390625</v>
      </c>
      <c r="W46" s="32">
        <v>0.123550415039062</v>
      </c>
      <c r="X46" s="33">
        <v>37245.508117675701</v>
      </c>
    </row>
    <row r="47" spans="1:24" x14ac:dyDescent="0.3">
      <c r="A47" s="51" t="s">
        <v>873</v>
      </c>
      <c r="B47" s="45" t="s">
        <v>895</v>
      </c>
      <c r="C47" s="45" t="s">
        <v>898</v>
      </c>
      <c r="D47" s="45" t="s">
        <v>939</v>
      </c>
      <c r="E47" s="45" t="s">
        <v>997</v>
      </c>
      <c r="F47" s="24" t="str">
        <f>HYPERLINK("https://mapwv.gov/flood/map/?wkid=102100&amp;x=-8765432.867389955&amp;y=4810160.76398924&amp;l=13&amp;v=2","FT")</f>
        <v>FT</v>
      </c>
      <c r="G47" s="29" t="s">
        <v>31</v>
      </c>
      <c r="H47" s="29" t="s">
        <v>24</v>
      </c>
      <c r="I47" s="45" t="s">
        <v>1050</v>
      </c>
      <c r="J47" s="22" t="s">
        <v>25</v>
      </c>
      <c r="K47" s="46" t="s">
        <v>76</v>
      </c>
      <c r="L47" s="46" t="s">
        <v>48</v>
      </c>
      <c r="M47" s="45" t="s">
        <v>39</v>
      </c>
      <c r="N47" s="3" t="s">
        <v>40</v>
      </c>
      <c r="O47" s="46" t="s">
        <v>88</v>
      </c>
      <c r="P47" s="45" t="s">
        <v>1113</v>
      </c>
      <c r="Q47" s="45" t="s">
        <v>41</v>
      </c>
      <c r="R47" s="23" t="s">
        <v>90</v>
      </c>
      <c r="S47" s="30">
        <v>300500</v>
      </c>
      <c r="T47" s="45" t="s">
        <v>42</v>
      </c>
      <c r="U47" s="31">
        <v>0</v>
      </c>
      <c r="V47" s="31">
        <v>-4</v>
      </c>
      <c r="W47" s="32">
        <v>0</v>
      </c>
      <c r="X47" s="33">
        <v>0</v>
      </c>
    </row>
    <row r="48" spans="1:24" x14ac:dyDescent="0.3">
      <c r="A48" s="51" t="s">
        <v>874</v>
      </c>
      <c r="B48" s="45" t="s">
        <v>895</v>
      </c>
      <c r="C48" s="45" t="s">
        <v>229</v>
      </c>
      <c r="D48" s="45" t="s">
        <v>940</v>
      </c>
      <c r="E48" s="45" t="s">
        <v>998</v>
      </c>
      <c r="F48" s="24" t="str">
        <f>HYPERLINK("https://mapwv.gov/flood/map/?wkid=102100&amp;x=-8765084.273855435&amp;y=4801531.97405343&amp;l=13&amp;v=2","FT")</f>
        <v>FT</v>
      </c>
      <c r="G48" s="29" t="s">
        <v>31</v>
      </c>
      <c r="H48" s="29" t="s">
        <v>24</v>
      </c>
      <c r="I48" s="45" t="s">
        <v>1051</v>
      </c>
      <c r="J48" s="22" t="s">
        <v>35</v>
      </c>
      <c r="K48" s="46" t="s">
        <v>74</v>
      </c>
      <c r="L48" s="46"/>
      <c r="M48" s="45" t="s">
        <v>27</v>
      </c>
      <c r="N48" s="3" t="s">
        <v>84</v>
      </c>
      <c r="O48" s="46" t="s">
        <v>87</v>
      </c>
      <c r="P48" s="45" t="s">
        <v>159</v>
      </c>
      <c r="Q48" s="45" t="s">
        <v>29</v>
      </c>
      <c r="R48" s="23" t="s">
        <v>89</v>
      </c>
      <c r="S48" s="30">
        <v>299700</v>
      </c>
      <c r="T48" s="45" t="s">
        <v>28</v>
      </c>
      <c r="U48" s="31">
        <v>4.2147217000000001</v>
      </c>
      <c r="V48" s="31">
        <v>3.2147216796875</v>
      </c>
      <c r="W48" s="32">
        <v>0.13214721679687499</v>
      </c>
      <c r="X48" s="33">
        <v>39604.520874023401</v>
      </c>
    </row>
    <row r="49" spans="1:24" x14ac:dyDescent="0.3">
      <c r="A49" s="51" t="s">
        <v>875</v>
      </c>
      <c r="B49" s="45" t="s">
        <v>895</v>
      </c>
      <c r="C49" s="45" t="s">
        <v>899</v>
      </c>
      <c r="D49" s="45" t="s">
        <v>941</v>
      </c>
      <c r="E49" s="45" t="s">
        <v>999</v>
      </c>
      <c r="F49" s="24" t="str">
        <f>HYPERLINK("https://mapwv.gov/flood/map/?wkid=102100&amp;x=-8795296.91320355&amp;y=4779084.080846276&amp;l=13&amp;v=2","FT")</f>
        <v>FT</v>
      </c>
      <c r="G49" s="29" t="s">
        <v>31</v>
      </c>
      <c r="H49" s="29" t="s">
        <v>24</v>
      </c>
      <c r="I49" s="45" t="s">
        <v>1052</v>
      </c>
      <c r="J49" s="22" t="s">
        <v>25</v>
      </c>
      <c r="K49" s="46" t="s">
        <v>121</v>
      </c>
      <c r="L49" s="46" t="s">
        <v>55</v>
      </c>
      <c r="M49" s="45" t="s">
        <v>45</v>
      </c>
      <c r="N49" s="3" t="s">
        <v>34</v>
      </c>
      <c r="O49" s="46" t="s">
        <v>87</v>
      </c>
      <c r="P49" s="45" t="s">
        <v>1114</v>
      </c>
      <c r="Q49" s="45" t="s">
        <v>29</v>
      </c>
      <c r="R49" s="23" t="s">
        <v>89</v>
      </c>
      <c r="S49" s="30">
        <v>296500</v>
      </c>
      <c r="T49" s="45" t="s">
        <v>42</v>
      </c>
      <c r="U49" s="31">
        <v>3.4822388000000002</v>
      </c>
      <c r="V49" s="31">
        <v>2.48223876953125</v>
      </c>
      <c r="W49" s="32">
        <v>0.14964477539062501</v>
      </c>
      <c r="X49" s="33">
        <v>44369.675903320298</v>
      </c>
    </row>
    <row r="50" spans="1:24" x14ac:dyDescent="0.3">
      <c r="A50" s="51" t="s">
        <v>876</v>
      </c>
      <c r="B50" s="45" t="s">
        <v>895</v>
      </c>
      <c r="C50" s="45" t="s">
        <v>229</v>
      </c>
      <c r="D50" s="45" t="s">
        <v>942</v>
      </c>
      <c r="E50" s="45" t="s">
        <v>1000</v>
      </c>
      <c r="F50" s="24" t="str">
        <f>HYPERLINK("https://mapwv.gov/flood/map/?wkid=102100&amp;x=-8768318.790902365&amp;y=4794651.285398299&amp;l=13&amp;v=2","FT")</f>
        <v>FT</v>
      </c>
      <c r="G50" s="29" t="s">
        <v>31</v>
      </c>
      <c r="H50" s="29" t="s">
        <v>24</v>
      </c>
      <c r="I50" s="45" t="s">
        <v>1053</v>
      </c>
      <c r="J50" s="22" t="s">
        <v>25</v>
      </c>
      <c r="K50" s="46" t="s">
        <v>94</v>
      </c>
      <c r="L50" s="46" t="s">
        <v>43</v>
      </c>
      <c r="M50" s="45" t="s">
        <v>39</v>
      </c>
      <c r="N50" s="3" t="s">
        <v>40</v>
      </c>
      <c r="O50" s="46" t="s">
        <v>88</v>
      </c>
      <c r="P50" s="45" t="s">
        <v>1115</v>
      </c>
      <c r="Q50" s="45" t="s">
        <v>50</v>
      </c>
      <c r="R50" s="23" t="s">
        <v>90</v>
      </c>
      <c r="S50" s="30">
        <v>282900</v>
      </c>
      <c r="T50" s="45" t="s">
        <v>42</v>
      </c>
      <c r="U50" s="31">
        <v>0</v>
      </c>
      <c r="V50" s="31">
        <v>-4</v>
      </c>
      <c r="W50" s="32">
        <v>0</v>
      </c>
      <c r="X50" s="33">
        <v>0</v>
      </c>
    </row>
    <row r="51" spans="1:24" x14ac:dyDescent="0.3">
      <c r="A51" s="51" t="s">
        <v>877</v>
      </c>
      <c r="B51" s="45" t="s">
        <v>897</v>
      </c>
      <c r="C51" s="45" t="s">
        <v>898</v>
      </c>
      <c r="D51" s="45" t="s">
        <v>943</v>
      </c>
      <c r="E51" s="45" t="s">
        <v>1001</v>
      </c>
      <c r="F51" s="24" t="str">
        <f>HYPERLINK("https://mapwv.gov/flood/map/?wkid=102100&amp;x=-8799515.86379584&amp;y=4791046.61753104&amp;l=13&amp;v=2","FT")</f>
        <v>FT</v>
      </c>
      <c r="G51" s="29" t="s">
        <v>31</v>
      </c>
      <c r="H51" s="29" t="s">
        <v>24</v>
      </c>
      <c r="I51" s="45" t="s">
        <v>1054</v>
      </c>
      <c r="J51" s="22" t="s">
        <v>25</v>
      </c>
      <c r="K51" s="46" t="s">
        <v>112</v>
      </c>
      <c r="L51" s="46" t="s">
        <v>26</v>
      </c>
      <c r="M51" s="45" t="s">
        <v>56</v>
      </c>
      <c r="N51" s="3" t="s">
        <v>85</v>
      </c>
      <c r="O51" s="46" t="s">
        <v>87</v>
      </c>
      <c r="P51" s="45" t="s">
        <v>1116</v>
      </c>
      <c r="Q51" s="45" t="s">
        <v>29</v>
      </c>
      <c r="R51" s="23" t="s">
        <v>89</v>
      </c>
      <c r="S51" s="30">
        <v>277500</v>
      </c>
      <c r="T51" s="45" t="s">
        <v>42</v>
      </c>
      <c r="U51" s="31">
        <v>0</v>
      </c>
      <c r="V51" s="31">
        <v>-1</v>
      </c>
      <c r="W51" s="32">
        <v>0</v>
      </c>
      <c r="X51" s="33">
        <v>0</v>
      </c>
    </row>
    <row r="52" spans="1:24" x14ac:dyDescent="0.3">
      <c r="A52" s="51" t="s">
        <v>878</v>
      </c>
      <c r="B52" s="45" t="s">
        <v>896</v>
      </c>
      <c r="C52" s="45" t="s">
        <v>899</v>
      </c>
      <c r="D52" s="45" t="s">
        <v>944</v>
      </c>
      <c r="E52" s="45" t="s">
        <v>1002</v>
      </c>
      <c r="F52" s="24" t="str">
        <f>HYPERLINK("https://mapwv.gov/flood/map/?wkid=102100&amp;x=-8791332.593589982&amp;y=4784904.267881619&amp;l=13&amp;v=2","FT")</f>
        <v>FT</v>
      </c>
      <c r="G52" s="29" t="s">
        <v>52</v>
      </c>
      <c r="H52" s="29" t="s">
        <v>24</v>
      </c>
      <c r="I52" s="45" t="s">
        <v>1055</v>
      </c>
      <c r="J52" s="22" t="s">
        <v>38</v>
      </c>
      <c r="K52" s="46" t="s">
        <v>162</v>
      </c>
      <c r="L52" s="46" t="s">
        <v>51</v>
      </c>
      <c r="M52" s="45" t="s">
        <v>27</v>
      </c>
      <c r="N52" s="3" t="s">
        <v>84</v>
      </c>
      <c r="O52" s="46" t="s">
        <v>88</v>
      </c>
      <c r="P52" s="45" t="s">
        <v>1117</v>
      </c>
      <c r="Q52" s="45" t="s">
        <v>29</v>
      </c>
      <c r="R52" s="23" t="s">
        <v>89</v>
      </c>
      <c r="S52" s="30">
        <v>260100</v>
      </c>
      <c r="T52" s="45" t="s">
        <v>42</v>
      </c>
      <c r="U52" s="31">
        <v>1.6554565000000001</v>
      </c>
      <c r="V52" s="31">
        <v>0.65545654296875</v>
      </c>
      <c r="W52" s="32">
        <v>3.2772827148437503E-2</v>
      </c>
      <c r="X52" s="33">
        <v>8524.2123413085901</v>
      </c>
    </row>
    <row r="53" spans="1:24" x14ac:dyDescent="0.3">
      <c r="A53" s="51" t="s">
        <v>879</v>
      </c>
      <c r="B53" s="45" t="s">
        <v>896</v>
      </c>
      <c r="C53" s="45" t="s">
        <v>899</v>
      </c>
      <c r="D53" s="45" t="s">
        <v>945</v>
      </c>
      <c r="E53" s="45" t="s">
        <v>1003</v>
      </c>
      <c r="F53" s="24" t="str">
        <f>HYPERLINK("https://mapwv.gov/flood/map/?wkid=102100&amp;x=-8791399.94488754&amp;y=4784966.715074928&amp;l=13&amp;v=2","FT")</f>
        <v>FT</v>
      </c>
      <c r="G53" s="29" t="s">
        <v>52</v>
      </c>
      <c r="H53" s="29" t="s">
        <v>24</v>
      </c>
      <c r="I53" s="45" t="s">
        <v>1056</v>
      </c>
      <c r="J53" s="22" t="s">
        <v>38</v>
      </c>
      <c r="K53" s="46" t="s">
        <v>1069</v>
      </c>
      <c r="L53" s="46" t="s">
        <v>51</v>
      </c>
      <c r="M53" s="45" t="s">
        <v>45</v>
      </c>
      <c r="N53" s="3" t="s">
        <v>34</v>
      </c>
      <c r="O53" s="46" t="s">
        <v>148</v>
      </c>
      <c r="P53" s="45" t="s">
        <v>1118</v>
      </c>
      <c r="Q53" s="45" t="s">
        <v>29</v>
      </c>
      <c r="R53" s="23" t="s">
        <v>89</v>
      </c>
      <c r="S53" s="30">
        <v>238400</v>
      </c>
      <c r="T53" s="45" t="s">
        <v>42</v>
      </c>
      <c r="U53" s="31">
        <v>0.90832520000000005</v>
      </c>
      <c r="V53" s="31">
        <v>-9.16748046875E-2</v>
      </c>
      <c r="W53" s="32">
        <v>9.0832519531249996E-3</v>
      </c>
      <c r="X53" s="33">
        <v>2165.447265625</v>
      </c>
    </row>
    <row r="54" spans="1:24" x14ac:dyDescent="0.3">
      <c r="A54" s="51" t="s">
        <v>880</v>
      </c>
      <c r="B54" s="45" t="s">
        <v>897</v>
      </c>
      <c r="C54" s="45" t="s">
        <v>898</v>
      </c>
      <c r="D54" s="45" t="s">
        <v>946</v>
      </c>
      <c r="E54" s="45" t="s">
        <v>1004</v>
      </c>
      <c r="F54" s="24" t="str">
        <f>HYPERLINK("https://mapwv.gov/flood/map/?wkid=102100&amp;x=-8799425.092992492&amp;y=4790920.492862251&amp;l=13&amp;v=2","FT")</f>
        <v>FT</v>
      </c>
      <c r="G54" s="29" t="s">
        <v>31</v>
      </c>
      <c r="H54" s="29" t="s">
        <v>24</v>
      </c>
      <c r="I54" s="45" t="s">
        <v>1057</v>
      </c>
      <c r="J54" s="22" t="s">
        <v>38</v>
      </c>
      <c r="K54" s="46" t="s">
        <v>1070</v>
      </c>
      <c r="L54" s="46" t="s">
        <v>26</v>
      </c>
      <c r="M54" s="45" t="s">
        <v>56</v>
      </c>
      <c r="N54" s="3" t="s">
        <v>85</v>
      </c>
      <c r="O54" s="46" t="s">
        <v>87</v>
      </c>
      <c r="P54" s="45" t="s">
        <v>1119</v>
      </c>
      <c r="Q54" s="45" t="s">
        <v>29</v>
      </c>
      <c r="R54" s="23" t="s">
        <v>89</v>
      </c>
      <c r="S54" s="30">
        <v>232320</v>
      </c>
      <c r="T54" s="45" t="s">
        <v>30</v>
      </c>
      <c r="U54" s="31">
        <v>0</v>
      </c>
      <c r="V54" s="31">
        <v>-1</v>
      </c>
      <c r="W54" s="32">
        <v>0</v>
      </c>
      <c r="X54" s="33">
        <v>0</v>
      </c>
    </row>
    <row r="55" spans="1:24" x14ac:dyDescent="0.3">
      <c r="A55" s="51" t="s">
        <v>881</v>
      </c>
      <c r="B55" s="45" t="s">
        <v>896</v>
      </c>
      <c r="C55" s="45" t="s">
        <v>899</v>
      </c>
      <c r="D55" s="45" t="s">
        <v>947</v>
      </c>
      <c r="E55" s="45" t="s">
        <v>1005</v>
      </c>
      <c r="F55" s="24" t="str">
        <f>HYPERLINK("https://mapwv.gov/flood/map/?wkid=102100&amp;x=-8791235.902593477&amp;y=4784845.116579118&amp;l=13&amp;v=2","FT")</f>
        <v>FT</v>
      </c>
      <c r="G55" s="29" t="s">
        <v>31</v>
      </c>
      <c r="H55" s="29" t="s">
        <v>24</v>
      </c>
      <c r="I55" s="45" t="s">
        <v>1058</v>
      </c>
      <c r="J55" s="22" t="s">
        <v>38</v>
      </c>
      <c r="K55" s="46" t="s">
        <v>130</v>
      </c>
      <c r="L55" s="46" t="s">
        <v>26</v>
      </c>
      <c r="M55" s="45" t="s">
        <v>146</v>
      </c>
      <c r="N55" s="3" t="s">
        <v>40</v>
      </c>
      <c r="O55" s="46" t="s">
        <v>148</v>
      </c>
      <c r="P55" s="45" t="s">
        <v>1120</v>
      </c>
      <c r="Q55" s="45" t="s">
        <v>41</v>
      </c>
      <c r="R55" s="23" t="s">
        <v>90</v>
      </c>
      <c r="S55" s="30">
        <v>228700</v>
      </c>
      <c r="T55" s="45" t="s">
        <v>42</v>
      </c>
      <c r="U55" s="31">
        <v>5.5385739999999997</v>
      </c>
      <c r="V55" s="31">
        <v>1.53857421875</v>
      </c>
      <c r="W55" s="32">
        <v>0.17692871093750001</v>
      </c>
      <c r="X55" s="33">
        <v>40463.596191406199</v>
      </c>
    </row>
    <row r="56" spans="1:24" ht="15" customHeight="1" x14ac:dyDescent="0.3">
      <c r="A56" s="51" t="s">
        <v>882</v>
      </c>
      <c r="B56" s="45" t="s">
        <v>895</v>
      </c>
      <c r="C56" s="45" t="s">
        <v>229</v>
      </c>
      <c r="D56" s="45" t="s">
        <v>948</v>
      </c>
      <c r="E56" s="45" t="s">
        <v>1006</v>
      </c>
      <c r="F56" s="24" t="str">
        <f>HYPERLINK("https://mapwv.gov/flood/map/?wkid=102100&amp;x=-8769145.992568789&amp;y=4794534.829938668&amp;l=13&amp;v=2","FT")</f>
        <v>FT</v>
      </c>
      <c r="G56" s="29" t="s">
        <v>31</v>
      </c>
      <c r="H56" s="29" t="s">
        <v>24</v>
      </c>
      <c r="I56" s="45" t="s">
        <v>1059</v>
      </c>
      <c r="J56" s="22" t="s">
        <v>25</v>
      </c>
      <c r="K56" s="46" t="s">
        <v>99</v>
      </c>
      <c r="L56" s="46" t="s">
        <v>32</v>
      </c>
      <c r="M56" s="45" t="s">
        <v>45</v>
      </c>
      <c r="N56" s="3" t="s">
        <v>34</v>
      </c>
      <c r="O56" s="46" t="s">
        <v>87</v>
      </c>
      <c r="P56" s="45" t="s">
        <v>149</v>
      </c>
      <c r="Q56" s="45" t="s">
        <v>29</v>
      </c>
      <c r="R56" s="23" t="s">
        <v>89</v>
      </c>
      <c r="S56" s="30">
        <v>224600</v>
      </c>
      <c r="T56" s="45" t="s">
        <v>42</v>
      </c>
      <c r="U56" s="31">
        <v>0</v>
      </c>
      <c r="V56" s="31">
        <v>-1</v>
      </c>
      <c r="W56" s="32">
        <v>0</v>
      </c>
      <c r="X56" s="33">
        <v>0</v>
      </c>
    </row>
    <row r="57" spans="1:24" x14ac:dyDescent="0.3">
      <c r="A57" s="51" t="s">
        <v>883</v>
      </c>
      <c r="B57" s="45" t="s">
        <v>895</v>
      </c>
      <c r="C57" s="45" t="s">
        <v>229</v>
      </c>
      <c r="D57" s="45" t="s">
        <v>949</v>
      </c>
      <c r="E57" s="45" t="s">
        <v>1007</v>
      </c>
      <c r="F57" s="24" t="str">
        <f>HYPERLINK("https://mapwv.gov/flood/map/?wkid=102100&amp;x=-8764043.631425632&amp;y=4802765.178826432&amp;l=13&amp;v=2","FT")</f>
        <v>FT</v>
      </c>
      <c r="G57" s="29" t="s">
        <v>31</v>
      </c>
      <c r="H57" s="29" t="s">
        <v>24</v>
      </c>
      <c r="I57" s="45" t="s">
        <v>1060</v>
      </c>
      <c r="J57" s="22" t="s">
        <v>38</v>
      </c>
      <c r="K57" s="46" t="s">
        <v>1068</v>
      </c>
      <c r="L57" s="46" t="s">
        <v>26</v>
      </c>
      <c r="M57" s="45" t="s">
        <v>56</v>
      </c>
      <c r="N57" s="3" t="s">
        <v>85</v>
      </c>
      <c r="O57" s="46" t="s">
        <v>87</v>
      </c>
      <c r="P57" s="45" t="s">
        <v>1121</v>
      </c>
      <c r="Q57" s="45" t="s">
        <v>29</v>
      </c>
      <c r="R57" s="23" t="s">
        <v>89</v>
      </c>
      <c r="S57" s="30">
        <v>218960</v>
      </c>
      <c r="T57" s="45" t="s">
        <v>30</v>
      </c>
      <c r="U57" s="31">
        <v>0</v>
      </c>
      <c r="V57" s="31">
        <v>-1</v>
      </c>
      <c r="W57" s="32">
        <v>0</v>
      </c>
      <c r="X57" s="33">
        <v>0</v>
      </c>
    </row>
    <row r="58" spans="1:24" x14ac:dyDescent="0.3">
      <c r="A58" s="51" t="s">
        <v>884</v>
      </c>
      <c r="B58" s="45" t="s">
        <v>895</v>
      </c>
      <c r="C58" s="45" t="s">
        <v>899</v>
      </c>
      <c r="D58" s="45" t="s">
        <v>950</v>
      </c>
      <c r="E58" s="45" t="s">
        <v>1008</v>
      </c>
      <c r="F58" s="24" t="str">
        <f>HYPERLINK("https://mapwv.gov/flood/map/?wkid=102100&amp;x=-8794966.270048242&amp;y=4779539.167296254&amp;l=13&amp;v=2","FT")</f>
        <v>FT</v>
      </c>
      <c r="G58" s="29" t="s">
        <v>31</v>
      </c>
      <c r="H58" s="29" t="s">
        <v>24</v>
      </c>
      <c r="I58" s="45" t="s">
        <v>1061</v>
      </c>
      <c r="J58" s="22" t="s">
        <v>25</v>
      </c>
      <c r="K58" s="46" t="s">
        <v>73</v>
      </c>
      <c r="L58" s="46" t="s">
        <v>55</v>
      </c>
      <c r="M58" s="45" t="s">
        <v>146</v>
      </c>
      <c r="N58" s="3" t="s">
        <v>40</v>
      </c>
      <c r="O58" s="46" t="s">
        <v>88</v>
      </c>
      <c r="P58" s="45" t="s">
        <v>1122</v>
      </c>
      <c r="Q58" s="45" t="s">
        <v>29</v>
      </c>
      <c r="R58" s="23" t="s">
        <v>89</v>
      </c>
      <c r="S58" s="30">
        <v>216400</v>
      </c>
      <c r="T58" s="45" t="s">
        <v>30</v>
      </c>
      <c r="U58" s="31">
        <v>0.22882079999999999</v>
      </c>
      <c r="V58" s="31">
        <v>-0.77117919921875</v>
      </c>
      <c r="W58" s="32">
        <v>3.4323120117187501E-2</v>
      </c>
      <c r="X58" s="33">
        <v>7427.5231933593705</v>
      </c>
    </row>
    <row r="59" spans="1:24" x14ac:dyDescent="0.3">
      <c r="A59" s="51" t="s">
        <v>885</v>
      </c>
      <c r="B59" s="45" t="s">
        <v>895</v>
      </c>
      <c r="C59" s="45" t="s">
        <v>899</v>
      </c>
      <c r="D59" s="45" t="s">
        <v>950</v>
      </c>
      <c r="E59" s="45" t="s">
        <v>1009</v>
      </c>
      <c r="F59" s="24" t="str">
        <f>HYPERLINK("https://mapwv.gov/flood/map/?wkid=102100&amp;x=-8794975.40281059&amp;y=4779622.355780788&amp;l=13&amp;v=2","FT")</f>
        <v>FT</v>
      </c>
      <c r="G59" s="29" t="s">
        <v>31</v>
      </c>
      <c r="H59" s="29" t="s">
        <v>24</v>
      </c>
      <c r="I59" s="45" t="s">
        <v>1061</v>
      </c>
      <c r="J59" s="22" t="s">
        <v>25</v>
      </c>
      <c r="K59" s="46" t="s">
        <v>73</v>
      </c>
      <c r="L59" s="46" t="s">
        <v>55</v>
      </c>
      <c r="M59" s="45" t="s">
        <v>146</v>
      </c>
      <c r="N59" s="3" t="s">
        <v>40</v>
      </c>
      <c r="O59" s="46" t="s">
        <v>88</v>
      </c>
      <c r="P59" s="45" t="s">
        <v>1122</v>
      </c>
      <c r="Q59" s="45" t="s">
        <v>29</v>
      </c>
      <c r="R59" s="23" t="s">
        <v>89</v>
      </c>
      <c r="S59" s="30">
        <v>215500</v>
      </c>
      <c r="T59" s="45" t="s">
        <v>30</v>
      </c>
      <c r="U59" s="31">
        <v>3.298645</v>
      </c>
      <c r="V59" s="31">
        <v>2.29864501953125</v>
      </c>
      <c r="W59" s="32">
        <v>0.258959350585937</v>
      </c>
      <c r="X59" s="33">
        <v>55805.740051269502</v>
      </c>
    </row>
    <row r="60" spans="1:24" x14ac:dyDescent="0.3">
      <c r="A60" s="51" t="s">
        <v>886</v>
      </c>
      <c r="B60" s="45" t="s">
        <v>897</v>
      </c>
      <c r="C60" s="45" t="s">
        <v>898</v>
      </c>
      <c r="D60" s="45" t="s">
        <v>951</v>
      </c>
      <c r="E60" s="45" t="s">
        <v>1010</v>
      </c>
      <c r="F60" s="24" t="str">
        <f>HYPERLINK("https://mapwv.gov/flood/map/?wkid=102100&amp;x=-8799417.257436175&amp;y=4790912.991968047&amp;l=13&amp;v=2","FT")</f>
        <v>FT</v>
      </c>
      <c r="G60" s="29" t="s">
        <v>31</v>
      </c>
      <c r="H60" s="29" t="s">
        <v>24</v>
      </c>
      <c r="I60" s="45" t="s">
        <v>1062</v>
      </c>
      <c r="J60" s="22" t="s">
        <v>38</v>
      </c>
      <c r="K60" s="46" t="s">
        <v>612</v>
      </c>
      <c r="L60" s="46" t="s">
        <v>51</v>
      </c>
      <c r="M60" s="45" t="s">
        <v>45</v>
      </c>
      <c r="N60" s="3" t="s">
        <v>34</v>
      </c>
      <c r="O60" s="46" t="s">
        <v>87</v>
      </c>
      <c r="P60" s="45" t="s">
        <v>1119</v>
      </c>
      <c r="Q60" s="45" t="s">
        <v>29</v>
      </c>
      <c r="R60" s="23" t="s">
        <v>89</v>
      </c>
      <c r="S60" s="30">
        <v>212980</v>
      </c>
      <c r="T60" s="45" t="s">
        <v>30</v>
      </c>
      <c r="U60" s="31">
        <v>0</v>
      </c>
      <c r="V60" s="31">
        <v>-1</v>
      </c>
      <c r="W60" s="32">
        <v>0</v>
      </c>
      <c r="X60" s="33">
        <v>0</v>
      </c>
    </row>
    <row r="61" spans="1:24" x14ac:dyDescent="0.3">
      <c r="A61" s="51" t="s">
        <v>887</v>
      </c>
      <c r="B61" s="45" t="s">
        <v>895</v>
      </c>
      <c r="C61" s="45" t="s">
        <v>229</v>
      </c>
      <c r="D61" s="45" t="s">
        <v>952</v>
      </c>
      <c r="E61" s="45" t="s">
        <v>1011</v>
      </c>
      <c r="F61" s="24" t="str">
        <f>HYPERLINK("https://mapwv.gov/flood/map/?wkid=102100&amp;x=-8764677.483270371&amp;y=4802289.41728908&amp;l=13&amp;v=2","FT")</f>
        <v>FT</v>
      </c>
      <c r="G61" s="29" t="s">
        <v>31</v>
      </c>
      <c r="H61" s="29" t="s">
        <v>24</v>
      </c>
      <c r="I61" s="45" t="s">
        <v>1063</v>
      </c>
      <c r="J61" s="22" t="s">
        <v>35</v>
      </c>
      <c r="K61" s="46" t="s">
        <v>74</v>
      </c>
      <c r="L61" s="46"/>
      <c r="M61" s="45" t="s">
        <v>39</v>
      </c>
      <c r="N61" s="3" t="s">
        <v>40</v>
      </c>
      <c r="O61" s="46" t="s">
        <v>87</v>
      </c>
      <c r="P61" s="45" t="s">
        <v>1123</v>
      </c>
      <c r="Q61" s="45" t="s">
        <v>29</v>
      </c>
      <c r="R61" s="23" t="s">
        <v>89</v>
      </c>
      <c r="S61" s="30">
        <v>212833</v>
      </c>
      <c r="T61" s="45" t="s">
        <v>30</v>
      </c>
      <c r="U61" s="31">
        <v>0</v>
      </c>
      <c r="V61" s="31">
        <v>-1</v>
      </c>
      <c r="W61" s="32">
        <v>0</v>
      </c>
      <c r="X61" s="33">
        <v>0</v>
      </c>
    </row>
    <row r="62" spans="1:24" x14ac:dyDescent="0.3">
      <c r="A62" s="51" t="s">
        <v>888</v>
      </c>
      <c r="B62" s="45" t="s">
        <v>895</v>
      </c>
      <c r="C62" s="45" t="s">
        <v>229</v>
      </c>
      <c r="D62" s="45" t="s">
        <v>953</v>
      </c>
      <c r="E62" s="45" t="s">
        <v>1012</v>
      </c>
      <c r="F62" s="24" t="str">
        <f>HYPERLINK("https://mapwv.gov/flood/map/?wkid=102100&amp;x=-8772235.71290314&amp;y=4788014.686864238&amp;l=13&amp;v=2","FT")</f>
        <v>FT</v>
      </c>
      <c r="G62" s="29" t="s">
        <v>31</v>
      </c>
      <c r="H62" s="29" t="s">
        <v>24</v>
      </c>
      <c r="I62" s="45" t="s">
        <v>1064</v>
      </c>
      <c r="J62" s="22" t="s">
        <v>25</v>
      </c>
      <c r="K62" s="46" t="s">
        <v>94</v>
      </c>
      <c r="L62" s="46" t="s">
        <v>44</v>
      </c>
      <c r="M62" s="45" t="s">
        <v>39</v>
      </c>
      <c r="N62" s="3" t="s">
        <v>40</v>
      </c>
      <c r="O62" s="46" t="s">
        <v>87</v>
      </c>
      <c r="P62" s="45" t="s">
        <v>1124</v>
      </c>
      <c r="Q62" s="45" t="s">
        <v>50</v>
      </c>
      <c r="R62" s="23" t="s">
        <v>90</v>
      </c>
      <c r="S62" s="30">
        <v>210100</v>
      </c>
      <c r="T62" s="45" t="s">
        <v>42</v>
      </c>
      <c r="U62" s="31">
        <v>0</v>
      </c>
      <c r="V62" s="31">
        <v>-4</v>
      </c>
      <c r="W62" s="32">
        <v>0</v>
      </c>
      <c r="X62" s="33">
        <v>0</v>
      </c>
    </row>
    <row r="63" spans="1:24" x14ac:dyDescent="0.3">
      <c r="A63" s="51" t="s">
        <v>889</v>
      </c>
      <c r="B63" s="45" t="s">
        <v>895</v>
      </c>
      <c r="C63" s="45" t="s">
        <v>899</v>
      </c>
      <c r="D63" s="45" t="s">
        <v>954</v>
      </c>
      <c r="E63" s="45" t="s">
        <v>1013</v>
      </c>
      <c r="F63" s="24" t="str">
        <f>HYPERLINK("https://mapwv.gov/flood/map/?wkid=102100&amp;x=-8795546.883569157&amp;y=4779043.815088761&amp;l=13&amp;v=2","FT")</f>
        <v>FT</v>
      </c>
      <c r="G63" s="29" t="s">
        <v>31</v>
      </c>
      <c r="H63" s="29" t="s">
        <v>24</v>
      </c>
      <c r="I63" s="45" t="s">
        <v>1065</v>
      </c>
      <c r="J63" s="22" t="s">
        <v>25</v>
      </c>
      <c r="K63" s="46" t="s">
        <v>101</v>
      </c>
      <c r="L63" s="46" t="s">
        <v>48</v>
      </c>
      <c r="M63" s="45" t="s">
        <v>147</v>
      </c>
      <c r="N63" s="3" t="s">
        <v>34</v>
      </c>
      <c r="O63" s="46" t="s">
        <v>87</v>
      </c>
      <c r="P63" s="45" t="s">
        <v>1125</v>
      </c>
      <c r="Q63" s="45" t="s">
        <v>29</v>
      </c>
      <c r="R63" s="23" t="s">
        <v>89</v>
      </c>
      <c r="S63" s="30">
        <v>209600</v>
      </c>
      <c r="T63" s="45" t="s">
        <v>42</v>
      </c>
      <c r="U63" s="31">
        <v>0.20318604000000001</v>
      </c>
      <c r="V63" s="31">
        <v>-0.79681396484375</v>
      </c>
      <c r="W63" s="32">
        <v>0</v>
      </c>
      <c r="X63" s="33">
        <v>0</v>
      </c>
    </row>
    <row r="64" spans="1:24" x14ac:dyDescent="0.3">
      <c r="A64" s="51" t="s">
        <v>890</v>
      </c>
      <c r="B64" s="45" t="s">
        <v>895</v>
      </c>
      <c r="C64" s="45" t="s">
        <v>899</v>
      </c>
      <c r="D64" s="45" t="s">
        <v>950</v>
      </c>
      <c r="E64" s="45" t="s">
        <v>1014</v>
      </c>
      <c r="F64" s="24" t="str">
        <f>HYPERLINK("https://mapwv.gov/flood/map/?wkid=102100&amp;x=-8794908.881733794&amp;y=4779502.4772723&amp;l=13&amp;v=2","FT")</f>
        <v>FT</v>
      </c>
      <c r="G64" s="29" t="s">
        <v>31</v>
      </c>
      <c r="H64" s="29" t="s">
        <v>24</v>
      </c>
      <c r="I64" s="45" t="s">
        <v>1061</v>
      </c>
      <c r="J64" s="22" t="s">
        <v>25</v>
      </c>
      <c r="K64" s="46" t="s">
        <v>73</v>
      </c>
      <c r="L64" s="46" t="s">
        <v>55</v>
      </c>
      <c r="M64" s="45" t="s">
        <v>146</v>
      </c>
      <c r="N64" s="3" t="s">
        <v>40</v>
      </c>
      <c r="O64" s="46" t="s">
        <v>88</v>
      </c>
      <c r="P64" s="45" t="s">
        <v>1126</v>
      </c>
      <c r="Q64" s="45" t="s">
        <v>29</v>
      </c>
      <c r="R64" s="23" t="s">
        <v>89</v>
      </c>
      <c r="S64" s="30">
        <v>206400</v>
      </c>
      <c r="T64" s="45" t="s">
        <v>30</v>
      </c>
      <c r="U64" s="31">
        <v>2.3265380000000002</v>
      </c>
      <c r="V64" s="31">
        <v>1.3265380859375</v>
      </c>
      <c r="W64" s="32">
        <v>0.189388427734375</v>
      </c>
      <c r="X64" s="33">
        <v>39089.771484375</v>
      </c>
    </row>
    <row r="65" spans="1:24" x14ac:dyDescent="0.3">
      <c r="A65" s="51" t="s">
        <v>891</v>
      </c>
      <c r="B65" s="45" t="s">
        <v>895</v>
      </c>
      <c r="C65" s="45" t="s">
        <v>899</v>
      </c>
      <c r="D65" s="45" t="s">
        <v>950</v>
      </c>
      <c r="E65" s="45" t="s">
        <v>1015</v>
      </c>
      <c r="F65" s="24" t="str">
        <f>HYPERLINK("https://mapwv.gov/flood/map/?wkid=102100&amp;x=-8794964.033639675&amp;y=4779629.294308409&amp;l=13&amp;v=2","FT")</f>
        <v>FT</v>
      </c>
      <c r="G65" s="29" t="s">
        <v>31</v>
      </c>
      <c r="H65" s="29" t="s">
        <v>24</v>
      </c>
      <c r="I65" s="45" t="s">
        <v>1061</v>
      </c>
      <c r="J65" s="22" t="s">
        <v>25</v>
      </c>
      <c r="K65" s="46" t="s">
        <v>73</v>
      </c>
      <c r="L65" s="46" t="s">
        <v>55</v>
      </c>
      <c r="M65" s="45" t="s">
        <v>146</v>
      </c>
      <c r="N65" s="3" t="s">
        <v>40</v>
      </c>
      <c r="O65" s="46" t="s">
        <v>88</v>
      </c>
      <c r="P65" s="45" t="s">
        <v>1126</v>
      </c>
      <c r="Q65" s="45" t="s">
        <v>29</v>
      </c>
      <c r="R65" s="23" t="s">
        <v>89</v>
      </c>
      <c r="S65" s="30">
        <v>206400</v>
      </c>
      <c r="T65" s="45" t="s">
        <v>30</v>
      </c>
      <c r="U65" s="31">
        <v>3.2796630000000002</v>
      </c>
      <c r="V65" s="31">
        <v>2.2796630859375</v>
      </c>
      <c r="W65" s="32">
        <v>0.258389892578125</v>
      </c>
      <c r="X65" s="33">
        <v>53331.673828125</v>
      </c>
    </row>
    <row r="66" spans="1:24" x14ac:dyDescent="0.3">
      <c r="A66" s="51" t="s">
        <v>892</v>
      </c>
      <c r="B66" s="45" t="s">
        <v>895</v>
      </c>
      <c r="C66" s="45" t="s">
        <v>899</v>
      </c>
      <c r="D66" s="45" t="s">
        <v>950</v>
      </c>
      <c r="E66" s="45" t="s">
        <v>1016</v>
      </c>
      <c r="F66" s="24" t="str">
        <f>HYPERLINK("https://mapwv.gov/flood/map/?wkid=102100&amp;x=-8794879.54426123&amp;y=4779558.49740607&amp;l=13&amp;v=2","FT")</f>
        <v>FT</v>
      </c>
      <c r="G66" s="29" t="s">
        <v>31</v>
      </c>
      <c r="H66" s="29" t="s">
        <v>24</v>
      </c>
      <c r="I66" s="45" t="s">
        <v>1061</v>
      </c>
      <c r="J66" s="22" t="s">
        <v>25</v>
      </c>
      <c r="K66" s="46" t="s">
        <v>73</v>
      </c>
      <c r="L66" s="46" t="s">
        <v>55</v>
      </c>
      <c r="M66" s="45" t="s">
        <v>146</v>
      </c>
      <c r="N66" s="3" t="s">
        <v>40</v>
      </c>
      <c r="O66" s="46" t="s">
        <v>88</v>
      </c>
      <c r="P66" s="45" t="s">
        <v>1126</v>
      </c>
      <c r="Q66" s="45" t="s">
        <v>29</v>
      </c>
      <c r="R66" s="23" t="s">
        <v>89</v>
      </c>
      <c r="S66" s="30">
        <v>206400</v>
      </c>
      <c r="T66" s="45" t="s">
        <v>30</v>
      </c>
      <c r="U66" s="31">
        <v>0.93377686000000004</v>
      </c>
      <c r="V66" s="31">
        <v>-6.622314453125E-2</v>
      </c>
      <c r="W66" s="32">
        <v>0.14006652832031199</v>
      </c>
      <c r="X66" s="33">
        <v>28909.7314453125</v>
      </c>
    </row>
    <row r="67" spans="1:24" x14ac:dyDescent="0.3">
      <c r="A67" s="51" t="s">
        <v>893</v>
      </c>
      <c r="B67" s="45" t="s">
        <v>895</v>
      </c>
      <c r="C67" s="45" t="s">
        <v>229</v>
      </c>
      <c r="D67" s="45" t="s">
        <v>955</v>
      </c>
      <c r="E67" s="45" t="s">
        <v>1017</v>
      </c>
      <c r="F67" s="24" t="str">
        <f>HYPERLINK("https://mapwv.gov/flood/map/?wkid=102100&amp;x=-8766152.114642475&amp;y=4798627.6501835175&amp;l=13&amp;v=2","FT")</f>
        <v>FT</v>
      </c>
      <c r="G67" s="29" t="s">
        <v>31</v>
      </c>
      <c r="H67" s="29" t="s">
        <v>138</v>
      </c>
      <c r="I67" s="45" t="s">
        <v>1066</v>
      </c>
      <c r="J67" s="22" t="s">
        <v>25</v>
      </c>
      <c r="K67" s="46" t="s">
        <v>124</v>
      </c>
      <c r="L67" s="46" t="s">
        <v>26</v>
      </c>
      <c r="M67" s="45" t="s">
        <v>61</v>
      </c>
      <c r="N67" s="3" t="s">
        <v>34</v>
      </c>
      <c r="O67" s="46" t="s">
        <v>87</v>
      </c>
      <c r="P67" s="45" t="s">
        <v>637</v>
      </c>
      <c r="Q67" s="45" t="s">
        <v>29</v>
      </c>
      <c r="R67" s="23" t="s">
        <v>89</v>
      </c>
      <c r="S67" s="30">
        <v>203900</v>
      </c>
      <c r="T67" s="45" t="s">
        <v>42</v>
      </c>
      <c r="U67" s="31">
        <v>6.2513430000000003</v>
      </c>
      <c r="V67" s="31">
        <v>5.2513427734375</v>
      </c>
      <c r="W67" s="32">
        <v>0.167540283203125</v>
      </c>
      <c r="X67" s="33">
        <v>34161.4637451171</v>
      </c>
    </row>
    <row r="68" spans="1:24" x14ac:dyDescent="0.3">
      <c r="A68" s="51" t="s">
        <v>894</v>
      </c>
      <c r="B68" s="45" t="s">
        <v>895</v>
      </c>
      <c r="C68" s="45" t="s">
        <v>229</v>
      </c>
      <c r="D68" s="45" t="s">
        <v>956</v>
      </c>
      <c r="E68" s="45" t="s">
        <v>1018</v>
      </c>
      <c r="F68" s="24" t="str">
        <f>HYPERLINK("https://mapwv.gov/flood/map/?wkid=102100&amp;x=-8782395.17201659&amp;y=4772493.153593339&amp;l=13&amp;v=2","FT")</f>
        <v>FT</v>
      </c>
      <c r="G68" s="29" t="s">
        <v>37</v>
      </c>
      <c r="H68" s="29" t="s">
        <v>24</v>
      </c>
      <c r="I68" s="45" t="s">
        <v>1067</v>
      </c>
      <c r="J68" s="22" t="s">
        <v>25</v>
      </c>
      <c r="K68" s="46" t="s">
        <v>80</v>
      </c>
      <c r="L68" s="46" t="s">
        <v>43</v>
      </c>
      <c r="M68" s="45" t="s">
        <v>39</v>
      </c>
      <c r="N68" s="3" t="s">
        <v>40</v>
      </c>
      <c r="O68" s="46" t="s">
        <v>87</v>
      </c>
      <c r="P68" s="45" t="s">
        <v>1127</v>
      </c>
      <c r="Q68" s="45" t="s">
        <v>50</v>
      </c>
      <c r="R68" s="23" t="s">
        <v>90</v>
      </c>
      <c r="S68" s="30">
        <v>201600</v>
      </c>
      <c r="T68" s="45" t="s">
        <v>42</v>
      </c>
      <c r="U68" s="31">
        <v>1.0974731</v>
      </c>
      <c r="V68" s="31">
        <v>-2.90252685546875</v>
      </c>
      <c r="W68" s="32">
        <v>0</v>
      </c>
      <c r="X68" s="33">
        <v>0</v>
      </c>
    </row>
  </sheetData>
  <conditionalFormatting sqref="A7:A68">
    <cfRule type="duplicateValues" dxfId="3" priority="1"/>
    <cfRule type="duplicateValues" dxfId="2" priority="2"/>
  </conditionalFormatting>
  <hyperlinks>
    <hyperlink ref="J3" r:id="rId1" xr:uid="{0BAF93D2-1BFE-4C1A-B05E-46AE6E8C0B3F}"/>
    <hyperlink ref="M3" r:id="rId2" xr:uid="{D177441F-6701-44E8-8539-8BE87CA3B3E2}"/>
    <hyperlink ref="Q3" r:id="rId3" xr:uid="{C69DB3BC-0E1D-4B44-BDBC-7FF79821F4CF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49882-13D8-4FD0-BEB6-671708675359}">
  <dimension ref="A1:X46"/>
  <sheetViews>
    <sheetView workbookViewId="0">
      <pane ySplit="6" topLeftCell="A7" activePane="bottomLeft" state="frozen"/>
      <selection pane="bottomLeft" activeCell="G3" sqref="G3"/>
    </sheetView>
  </sheetViews>
  <sheetFormatPr defaultRowHeight="14.4" x14ac:dyDescent="0.3"/>
  <cols>
    <col min="1" max="1" width="33.88671875" bestFit="1" customWidth="1"/>
    <col min="2" max="2" width="10.5546875" customWidth="1"/>
    <col min="7" max="7" width="11.6640625" customWidth="1"/>
    <col min="13" max="13" width="12.109375" customWidth="1"/>
    <col min="14" max="14" width="11.5546875" customWidth="1"/>
    <col min="17" max="17" width="11.44140625" customWidth="1"/>
    <col min="19" max="19" width="21.77734375" bestFit="1" customWidth="1"/>
    <col min="24" max="24" width="9.5546875" bestFit="1" customWidth="1"/>
  </cols>
  <sheetData>
    <row r="1" spans="1:24" ht="14.25" customHeight="1" x14ac:dyDescent="0.3">
      <c r="A1" s="4" t="s">
        <v>64</v>
      </c>
      <c r="B1" s="4"/>
      <c r="C1" s="4"/>
      <c r="D1" s="4"/>
      <c r="F1" s="17" t="s">
        <v>65</v>
      </c>
      <c r="G1" s="6"/>
      <c r="H1" s="6"/>
      <c r="J1" s="6"/>
      <c r="K1" s="6"/>
      <c r="L1" s="6"/>
      <c r="N1" s="5" t="s">
        <v>66</v>
      </c>
      <c r="O1" s="6"/>
      <c r="P1" s="6"/>
      <c r="R1" s="6"/>
      <c r="S1" s="7" t="s">
        <v>67</v>
      </c>
      <c r="U1" s="8"/>
      <c r="V1" s="8"/>
      <c r="W1" s="9"/>
      <c r="X1" s="10"/>
    </row>
    <row r="2" spans="1:24" x14ac:dyDescent="0.3">
      <c r="A2" s="11">
        <v>44580</v>
      </c>
      <c r="B2" s="12" t="s">
        <v>68</v>
      </c>
      <c r="F2" s="6"/>
      <c r="G2" s="6"/>
      <c r="H2" s="6"/>
      <c r="J2" s="6"/>
      <c r="K2" s="6"/>
      <c r="L2" s="6"/>
      <c r="N2" s="13" t="s">
        <v>40</v>
      </c>
      <c r="O2" s="6"/>
      <c r="P2" s="6"/>
      <c r="R2" s="6"/>
      <c r="S2" s="39"/>
      <c r="U2" s="8"/>
      <c r="V2" s="8"/>
      <c r="W2" s="9"/>
      <c r="X2" s="10"/>
    </row>
    <row r="3" spans="1:24" x14ac:dyDescent="0.3">
      <c r="A3" t="s">
        <v>70</v>
      </c>
      <c r="B3" s="40"/>
      <c r="F3" s="6"/>
      <c r="G3" s="6"/>
      <c r="H3" s="6"/>
      <c r="J3" s="16" t="s">
        <v>69</v>
      </c>
      <c r="K3" s="6"/>
      <c r="L3" s="6"/>
      <c r="M3" s="14" t="s">
        <v>69</v>
      </c>
      <c r="N3" s="5"/>
      <c r="O3" s="6"/>
      <c r="P3" s="6"/>
      <c r="Q3" s="14" t="s">
        <v>69</v>
      </c>
      <c r="R3" s="15"/>
      <c r="S3" s="39"/>
      <c r="U3" s="8"/>
      <c r="V3" s="8"/>
      <c r="W3" s="9"/>
      <c r="X3" s="10"/>
    </row>
    <row r="4" spans="1:24" x14ac:dyDescent="0.3">
      <c r="F4" s="6"/>
      <c r="G4" s="6"/>
      <c r="H4" s="6"/>
      <c r="J4" s="6"/>
      <c r="K4" s="6"/>
      <c r="L4" s="6"/>
      <c r="N4" s="5"/>
      <c r="O4" s="6"/>
      <c r="P4" s="6"/>
      <c r="R4" s="6"/>
      <c r="S4" s="39"/>
      <c r="U4" s="8"/>
      <c r="V4" s="8"/>
      <c r="W4" s="9"/>
      <c r="X4" s="10"/>
    </row>
    <row r="5" spans="1:24" x14ac:dyDescent="0.3">
      <c r="A5" s="1" t="s">
        <v>1128</v>
      </c>
      <c r="F5" s="6"/>
      <c r="G5" s="6"/>
      <c r="H5" s="6"/>
      <c r="J5" s="6"/>
      <c r="K5" s="6"/>
      <c r="L5" s="6"/>
      <c r="O5" s="6"/>
      <c r="P5" s="6"/>
      <c r="R5" s="6"/>
      <c r="S5" s="34" t="s">
        <v>109</v>
      </c>
      <c r="U5" s="6"/>
      <c r="V5" s="6"/>
      <c r="W5" s="9"/>
      <c r="X5" s="10"/>
    </row>
    <row r="6" spans="1:24" ht="43.2" x14ac:dyDescent="0.3">
      <c r="A6" s="25" t="s">
        <v>0</v>
      </c>
      <c r="B6" s="18" t="s">
        <v>1</v>
      </c>
      <c r="C6" s="18" t="s">
        <v>2</v>
      </c>
      <c r="D6" s="26" t="s">
        <v>3</v>
      </c>
      <c r="E6" s="26" t="s">
        <v>4</v>
      </c>
      <c r="F6" s="18" t="s">
        <v>5</v>
      </c>
      <c r="G6" s="18" t="s">
        <v>6</v>
      </c>
      <c r="H6" s="25" t="s">
        <v>7</v>
      </c>
      <c r="I6" s="18" t="s">
        <v>8</v>
      </c>
      <c r="J6" s="25" t="s">
        <v>9</v>
      </c>
      <c r="K6" s="26" t="s">
        <v>10</v>
      </c>
      <c r="L6" s="18" t="s">
        <v>11</v>
      </c>
      <c r="M6" s="26" t="s">
        <v>12</v>
      </c>
      <c r="N6" s="19" t="s">
        <v>13</v>
      </c>
      <c r="O6" s="26" t="s">
        <v>14</v>
      </c>
      <c r="P6" s="26" t="s">
        <v>15</v>
      </c>
      <c r="Q6" s="26" t="s">
        <v>16</v>
      </c>
      <c r="R6" s="26" t="s">
        <v>17</v>
      </c>
      <c r="S6" s="20" t="s">
        <v>18</v>
      </c>
      <c r="T6" s="18" t="s">
        <v>19</v>
      </c>
      <c r="U6" s="27" t="s">
        <v>20</v>
      </c>
      <c r="V6" s="27" t="s">
        <v>21</v>
      </c>
      <c r="W6" s="28" t="s">
        <v>22</v>
      </c>
      <c r="X6" s="21" t="s">
        <v>23</v>
      </c>
    </row>
    <row r="7" spans="1:24" x14ac:dyDescent="0.3">
      <c r="A7" s="51" t="s">
        <v>1129</v>
      </c>
      <c r="B7" s="45" t="s">
        <v>1169</v>
      </c>
      <c r="C7" s="45" t="s">
        <v>1171</v>
      </c>
      <c r="D7" s="45" t="s">
        <v>1176</v>
      </c>
      <c r="E7" s="45" t="s">
        <v>1212</v>
      </c>
      <c r="F7" s="24" t="str">
        <f>HYPERLINK("https://mapwv.gov/flood/map/?wkid=102100&amp;x=-8821442.410686675&amp;y=4668485.7428722&amp;l=13&amp;v=2","FT")</f>
        <v>FT</v>
      </c>
      <c r="G7" s="29" t="s">
        <v>1252</v>
      </c>
      <c r="H7" s="29" t="s">
        <v>24</v>
      </c>
      <c r="I7" s="45" t="s">
        <v>1254</v>
      </c>
      <c r="J7" s="51" t="s">
        <v>38</v>
      </c>
      <c r="K7" s="46" t="s">
        <v>619</v>
      </c>
      <c r="L7" s="44"/>
      <c r="M7" s="51" t="s">
        <v>58</v>
      </c>
      <c r="N7" s="3" t="s">
        <v>83</v>
      </c>
      <c r="O7" s="46" t="s">
        <v>87</v>
      </c>
      <c r="P7" s="45" t="s">
        <v>1294</v>
      </c>
      <c r="Q7" s="45" t="s">
        <v>29</v>
      </c>
      <c r="R7" s="23" t="s">
        <v>89</v>
      </c>
      <c r="S7" s="30">
        <v>7400000</v>
      </c>
      <c r="T7" s="2" t="s">
        <v>59</v>
      </c>
      <c r="U7" s="31">
        <v>0.20300293</v>
      </c>
      <c r="V7" s="31">
        <v>-0.79699706999999997</v>
      </c>
      <c r="W7" s="32">
        <v>0</v>
      </c>
      <c r="X7" s="33">
        <v>0</v>
      </c>
    </row>
    <row r="8" spans="1:24" x14ac:dyDescent="0.3">
      <c r="A8" s="51" t="s">
        <v>1130</v>
      </c>
      <c r="B8" s="45" t="s">
        <v>1169</v>
      </c>
      <c r="C8" s="45" t="s">
        <v>226</v>
      </c>
      <c r="D8" s="45" t="s">
        <v>1177</v>
      </c>
      <c r="E8" s="45" t="s">
        <v>1213</v>
      </c>
      <c r="F8" s="24" t="str">
        <f>HYPERLINK("https://mapwv.gov/flood/map/?wkid=102100&amp;x=-8833866.347245805&amp;y=4665872.876011754&amp;l=13&amp;v=2","FT")</f>
        <v>FT</v>
      </c>
      <c r="G8" s="29" t="s">
        <v>37</v>
      </c>
      <c r="H8" s="29" t="s">
        <v>24</v>
      </c>
      <c r="I8" s="45" t="s">
        <v>1255</v>
      </c>
      <c r="J8" s="51" t="s">
        <v>38</v>
      </c>
      <c r="K8" s="46" t="s">
        <v>1288</v>
      </c>
      <c r="L8" s="44" t="s">
        <v>26</v>
      </c>
      <c r="M8" s="51" t="s">
        <v>33</v>
      </c>
      <c r="N8" s="3" t="s">
        <v>86</v>
      </c>
      <c r="O8" s="46" t="s">
        <v>87</v>
      </c>
      <c r="P8" s="45" t="s">
        <v>1295</v>
      </c>
      <c r="Q8" s="45" t="s">
        <v>29</v>
      </c>
      <c r="R8" s="23" t="s">
        <v>89</v>
      </c>
      <c r="S8" s="30">
        <v>2162000</v>
      </c>
      <c r="T8" s="2" t="s">
        <v>42</v>
      </c>
      <c r="U8" s="31">
        <v>0.20202637000000001</v>
      </c>
      <c r="V8" s="31">
        <v>-0.79797363300000002</v>
      </c>
      <c r="W8" s="32">
        <v>2.0202636699999999E-3</v>
      </c>
      <c r="X8" s="33">
        <v>4367.8100590000004</v>
      </c>
    </row>
    <row r="9" spans="1:24" x14ac:dyDescent="0.3">
      <c r="A9" s="51" t="s">
        <v>1131</v>
      </c>
      <c r="B9" s="45" t="s">
        <v>1169</v>
      </c>
      <c r="C9" s="45" t="s">
        <v>484</v>
      </c>
      <c r="D9" s="45" t="s">
        <v>1178</v>
      </c>
      <c r="E9" s="45" t="s">
        <v>1214</v>
      </c>
      <c r="F9" s="24" t="str">
        <f>HYPERLINK("https://mapwv.gov/flood/map/?wkid=102100&amp;x=-8838083.272936558&amp;y=4690049.916573504&amp;l=13&amp;v=2","FT")</f>
        <v>FT</v>
      </c>
      <c r="G9" s="29" t="s">
        <v>37</v>
      </c>
      <c r="H9" s="29" t="s">
        <v>24</v>
      </c>
      <c r="I9" s="45" t="s">
        <v>1256</v>
      </c>
      <c r="J9" s="51" t="s">
        <v>25</v>
      </c>
      <c r="K9" s="46" t="s">
        <v>111</v>
      </c>
      <c r="L9" s="44" t="s">
        <v>36</v>
      </c>
      <c r="M9" s="51" t="s">
        <v>1293</v>
      </c>
      <c r="N9" s="3" t="s">
        <v>86</v>
      </c>
      <c r="O9" s="46" t="s">
        <v>88</v>
      </c>
      <c r="P9" s="45" t="s">
        <v>1296</v>
      </c>
      <c r="Q9" s="45" t="s">
        <v>29</v>
      </c>
      <c r="R9" s="23" t="s">
        <v>89</v>
      </c>
      <c r="S9" s="30">
        <v>1057300</v>
      </c>
      <c r="T9" s="2" t="s">
        <v>42</v>
      </c>
      <c r="U9" s="31">
        <v>0</v>
      </c>
      <c r="V9" s="31">
        <v>-1</v>
      </c>
      <c r="W9" s="32">
        <v>0</v>
      </c>
      <c r="X9" s="33">
        <v>0</v>
      </c>
    </row>
    <row r="10" spans="1:24" x14ac:dyDescent="0.3">
      <c r="A10" s="51" t="s">
        <v>1132</v>
      </c>
      <c r="B10" s="45" t="s">
        <v>1169</v>
      </c>
      <c r="C10" s="45" t="s">
        <v>224</v>
      </c>
      <c r="D10" s="45" t="s">
        <v>1179</v>
      </c>
      <c r="E10" s="45" t="s">
        <v>1215</v>
      </c>
      <c r="F10" s="24" t="str">
        <f>HYPERLINK("https://mapwv.gov/flood/map/?wkid=102100&amp;x=-8842776.026332304&amp;y=4685308.190822545&amp;l=13&amp;v=2","FT")</f>
        <v>FT</v>
      </c>
      <c r="G10" s="29" t="s">
        <v>1252</v>
      </c>
      <c r="H10" s="29" t="s">
        <v>24</v>
      </c>
      <c r="I10" s="45"/>
      <c r="J10" s="51" t="s">
        <v>35</v>
      </c>
      <c r="K10" s="46" t="s">
        <v>74</v>
      </c>
      <c r="L10" s="44"/>
      <c r="M10" s="51" t="s">
        <v>56</v>
      </c>
      <c r="N10" s="3" t="s">
        <v>85</v>
      </c>
      <c r="O10" s="46" t="s">
        <v>87</v>
      </c>
      <c r="P10" s="45" t="s">
        <v>1297</v>
      </c>
      <c r="Q10" s="45" t="s">
        <v>29</v>
      </c>
      <c r="R10" s="23" t="s">
        <v>89</v>
      </c>
      <c r="S10" s="30">
        <v>822485</v>
      </c>
      <c r="T10" s="2" t="s">
        <v>91</v>
      </c>
      <c r="U10" s="31">
        <v>2.6054688000000001</v>
      </c>
      <c r="V10" s="31">
        <v>1.60546875</v>
      </c>
      <c r="W10" s="32">
        <v>0.10605468749999999</v>
      </c>
      <c r="X10" s="33">
        <v>87228.389649999997</v>
      </c>
    </row>
    <row r="11" spans="1:24" x14ac:dyDescent="0.3">
      <c r="A11" s="51" t="s">
        <v>1133</v>
      </c>
      <c r="B11" s="45" t="s">
        <v>1169</v>
      </c>
      <c r="C11" s="45" t="s">
        <v>1171</v>
      </c>
      <c r="D11" s="45" t="s">
        <v>1180</v>
      </c>
      <c r="E11" s="45" t="s">
        <v>1216</v>
      </c>
      <c r="F11" s="24" t="str">
        <f>HYPERLINK("https://mapwv.gov/flood/map/?wkid=102100&amp;x=-8825027.501419218&amp;y=4660236.904503146&amp;l=13&amp;v=2","FT")</f>
        <v>FT</v>
      </c>
      <c r="G11" s="29" t="s">
        <v>37</v>
      </c>
      <c r="H11" s="29" t="s">
        <v>24</v>
      </c>
      <c r="I11" s="45" t="s">
        <v>1257</v>
      </c>
      <c r="J11" s="51" t="s">
        <v>25</v>
      </c>
      <c r="K11" s="46" t="s">
        <v>119</v>
      </c>
      <c r="L11" s="44" t="s">
        <v>36</v>
      </c>
      <c r="M11" s="51" t="s">
        <v>27</v>
      </c>
      <c r="N11" s="3" t="s">
        <v>84</v>
      </c>
      <c r="O11" s="46" t="s">
        <v>148</v>
      </c>
      <c r="P11" s="45" t="s">
        <v>1298</v>
      </c>
      <c r="Q11" s="45" t="s">
        <v>29</v>
      </c>
      <c r="R11" s="23" t="s">
        <v>89</v>
      </c>
      <c r="S11" s="30">
        <v>821900</v>
      </c>
      <c r="T11" s="2" t="s">
        <v>30</v>
      </c>
      <c r="U11" s="31">
        <v>0</v>
      </c>
      <c r="V11" s="31">
        <v>-1</v>
      </c>
      <c r="W11" s="32">
        <v>0</v>
      </c>
      <c r="X11" s="33">
        <v>0</v>
      </c>
    </row>
    <row r="12" spans="1:24" x14ac:dyDescent="0.3">
      <c r="A12" s="51" t="s">
        <v>1134</v>
      </c>
      <c r="B12" s="45" t="s">
        <v>1169</v>
      </c>
      <c r="C12" s="45" t="s">
        <v>224</v>
      </c>
      <c r="D12" s="45" t="s">
        <v>1181</v>
      </c>
      <c r="E12" s="45" t="s">
        <v>1217</v>
      </c>
      <c r="F12" s="24" t="str">
        <f>HYPERLINK("https://mapwv.gov/flood/map/?wkid=102100&amp;x=-8839299.856266845&amp;y=4691170.387348594&amp;l=13&amp;v=2","FT")</f>
        <v>FT</v>
      </c>
      <c r="G12" s="29" t="s">
        <v>37</v>
      </c>
      <c r="H12" s="29" t="s">
        <v>24</v>
      </c>
      <c r="I12" s="45" t="s">
        <v>1258</v>
      </c>
      <c r="J12" s="51" t="s">
        <v>25</v>
      </c>
      <c r="K12" s="46" t="s">
        <v>73</v>
      </c>
      <c r="L12" s="44" t="s">
        <v>26</v>
      </c>
      <c r="M12" s="51" t="s">
        <v>54</v>
      </c>
      <c r="N12" s="3" t="s">
        <v>34</v>
      </c>
      <c r="O12" s="46" t="s">
        <v>88</v>
      </c>
      <c r="P12" s="45" t="s">
        <v>1299</v>
      </c>
      <c r="Q12" s="45" t="s">
        <v>29</v>
      </c>
      <c r="R12" s="23" t="s">
        <v>89</v>
      </c>
      <c r="S12" s="30">
        <v>800400</v>
      </c>
      <c r="T12" s="2" t="s">
        <v>42</v>
      </c>
      <c r="U12" s="31">
        <v>2.4562987999999999</v>
      </c>
      <c r="V12" s="31">
        <v>1.456298828</v>
      </c>
      <c r="W12" s="32">
        <v>0.1328149414</v>
      </c>
      <c r="X12" s="33">
        <v>106305.0791</v>
      </c>
    </row>
    <row r="13" spans="1:24" x14ac:dyDescent="0.3">
      <c r="A13" s="51" t="s">
        <v>1135</v>
      </c>
      <c r="B13" s="45" t="s">
        <v>1169</v>
      </c>
      <c r="C13" s="45" t="s">
        <v>1172</v>
      </c>
      <c r="D13" s="45" t="s">
        <v>1182</v>
      </c>
      <c r="E13" s="45" t="s">
        <v>1218</v>
      </c>
      <c r="F13" s="24" t="str">
        <f>HYPERLINK("https://mapwv.gov/flood/map/?wkid=102100&amp;x=-8831413.57922666&amp;y=4672403.315907354&amp;l=13&amp;v=2","FT")</f>
        <v>FT</v>
      </c>
      <c r="G13" s="29" t="s">
        <v>37</v>
      </c>
      <c r="H13" s="29" t="s">
        <v>24</v>
      </c>
      <c r="I13" s="45" t="s">
        <v>1259</v>
      </c>
      <c r="J13" s="51" t="s">
        <v>25</v>
      </c>
      <c r="K13" s="46" t="s">
        <v>123</v>
      </c>
      <c r="L13" s="44" t="s">
        <v>55</v>
      </c>
      <c r="M13" s="51" t="s">
        <v>45</v>
      </c>
      <c r="N13" s="3" t="s">
        <v>34</v>
      </c>
      <c r="O13" s="46" t="s">
        <v>87</v>
      </c>
      <c r="P13" s="45" t="s">
        <v>1300</v>
      </c>
      <c r="Q13" s="45" t="s">
        <v>29</v>
      </c>
      <c r="R13" s="23" t="s">
        <v>89</v>
      </c>
      <c r="S13" s="30">
        <v>763400</v>
      </c>
      <c r="T13" s="2" t="s">
        <v>42</v>
      </c>
      <c r="U13" s="31">
        <v>0</v>
      </c>
      <c r="V13" s="31">
        <v>-1</v>
      </c>
      <c r="W13" s="32">
        <v>0</v>
      </c>
      <c r="X13" s="33">
        <v>0</v>
      </c>
    </row>
    <row r="14" spans="1:24" x14ac:dyDescent="0.3">
      <c r="A14" s="51" t="s">
        <v>1136</v>
      </c>
      <c r="B14" s="45" t="s">
        <v>1170</v>
      </c>
      <c r="C14" s="45" t="s">
        <v>226</v>
      </c>
      <c r="D14" s="45" t="s">
        <v>1183</v>
      </c>
      <c r="E14" s="45" t="s">
        <v>1219</v>
      </c>
      <c r="F14" s="24" t="str">
        <f>HYPERLINK("https://mapwv.gov/flood/map/?wkid=102100&amp;x=-8830590.923736915&amp;y=4670526.785828709&amp;l=13&amp;v=2","FT")</f>
        <v>FT</v>
      </c>
      <c r="G14" s="29" t="s">
        <v>31</v>
      </c>
      <c r="H14" s="29" t="s">
        <v>24</v>
      </c>
      <c r="I14" s="45" t="s">
        <v>1260</v>
      </c>
      <c r="J14" s="51" t="s">
        <v>25</v>
      </c>
      <c r="K14" s="46" t="s">
        <v>93</v>
      </c>
      <c r="L14" s="44" t="s">
        <v>36</v>
      </c>
      <c r="M14" s="51" t="s">
        <v>33</v>
      </c>
      <c r="N14" s="3" t="s">
        <v>86</v>
      </c>
      <c r="O14" s="46" t="s">
        <v>87</v>
      </c>
      <c r="P14" s="45" t="s">
        <v>1301</v>
      </c>
      <c r="Q14" s="45" t="s">
        <v>29</v>
      </c>
      <c r="R14" s="23" t="s">
        <v>89</v>
      </c>
      <c r="S14" s="30">
        <v>725700</v>
      </c>
      <c r="T14" s="2" t="s">
        <v>42</v>
      </c>
      <c r="U14" s="31">
        <v>0.75195310000000004</v>
      </c>
      <c r="V14" s="31">
        <v>-0.248046875</v>
      </c>
      <c r="W14" s="32">
        <v>7.5195312500000002E-3</v>
      </c>
      <c r="X14" s="33">
        <v>5456.923828</v>
      </c>
    </row>
    <row r="15" spans="1:24" x14ac:dyDescent="0.3">
      <c r="A15" s="51" t="s">
        <v>1137</v>
      </c>
      <c r="B15" s="45" t="s">
        <v>1169</v>
      </c>
      <c r="C15" s="45" t="s">
        <v>1171</v>
      </c>
      <c r="D15" s="45" t="s">
        <v>1180</v>
      </c>
      <c r="E15" s="45" t="s">
        <v>1220</v>
      </c>
      <c r="F15" s="24" t="str">
        <f>HYPERLINK("https://mapwv.gov/flood/map/?wkid=102100&amp;x=-8824908.57502234&amp;y=4660368.440194463&amp;l=13&amp;v=2","FT")</f>
        <v>FT</v>
      </c>
      <c r="G15" s="29" t="s">
        <v>37</v>
      </c>
      <c r="H15" s="29" t="s">
        <v>24</v>
      </c>
      <c r="I15" s="45" t="s">
        <v>1257</v>
      </c>
      <c r="J15" s="51" t="s">
        <v>25</v>
      </c>
      <c r="K15" s="46" t="s">
        <v>119</v>
      </c>
      <c r="L15" s="44" t="s">
        <v>36</v>
      </c>
      <c r="M15" s="51" t="s">
        <v>27</v>
      </c>
      <c r="N15" s="3" t="s">
        <v>84</v>
      </c>
      <c r="O15" s="46" t="s">
        <v>148</v>
      </c>
      <c r="P15" s="45" t="s">
        <v>1302</v>
      </c>
      <c r="Q15" s="45" t="s">
        <v>29</v>
      </c>
      <c r="R15" s="23" t="s">
        <v>89</v>
      </c>
      <c r="S15" s="30">
        <v>575100</v>
      </c>
      <c r="T15" s="2" t="s">
        <v>30</v>
      </c>
      <c r="U15" s="31">
        <v>0</v>
      </c>
      <c r="V15" s="31">
        <v>-1</v>
      </c>
      <c r="W15" s="32">
        <v>0</v>
      </c>
      <c r="X15" s="33">
        <v>0</v>
      </c>
    </row>
    <row r="16" spans="1:24" x14ac:dyDescent="0.3">
      <c r="A16" s="51" t="s">
        <v>1138</v>
      </c>
      <c r="B16" s="45" t="s">
        <v>1170</v>
      </c>
      <c r="C16" s="45" t="s">
        <v>226</v>
      </c>
      <c r="D16" s="45" t="s">
        <v>1184</v>
      </c>
      <c r="E16" s="45" t="s">
        <v>1221</v>
      </c>
      <c r="F16" s="24" t="str">
        <f>HYPERLINK("https://mapwv.gov/flood/map/?wkid=102100&amp;x=-8830807.758297613&amp;y=4670523.1235540565&amp;l=13&amp;v=2","FT")</f>
        <v>FT</v>
      </c>
      <c r="G16" s="29" t="s">
        <v>31</v>
      </c>
      <c r="H16" s="29" t="s">
        <v>24</v>
      </c>
      <c r="I16" s="45" t="s">
        <v>1261</v>
      </c>
      <c r="J16" s="51" t="s">
        <v>25</v>
      </c>
      <c r="K16" s="46" t="s">
        <v>119</v>
      </c>
      <c r="L16" s="44" t="s">
        <v>51</v>
      </c>
      <c r="M16" s="51" t="s">
        <v>49</v>
      </c>
      <c r="N16" s="3" t="s">
        <v>34</v>
      </c>
      <c r="O16" s="46" t="s">
        <v>87</v>
      </c>
      <c r="P16" s="45" t="s">
        <v>1303</v>
      </c>
      <c r="Q16" s="45" t="s">
        <v>29</v>
      </c>
      <c r="R16" s="23" t="s">
        <v>89</v>
      </c>
      <c r="S16" s="30">
        <v>520300</v>
      </c>
      <c r="T16" s="2" t="s">
        <v>42</v>
      </c>
      <c r="U16" s="31">
        <v>2.3051758000000002</v>
      </c>
      <c r="V16" s="31">
        <v>1.305175781</v>
      </c>
      <c r="W16" s="32">
        <v>9.6103515629999997E-2</v>
      </c>
      <c r="X16" s="33">
        <v>50002.659180000002</v>
      </c>
    </row>
    <row r="17" spans="1:24" x14ac:dyDescent="0.3">
      <c r="A17" s="51" t="s">
        <v>1139</v>
      </c>
      <c r="B17" s="45" t="s">
        <v>1170</v>
      </c>
      <c r="C17" s="45" t="s">
        <v>226</v>
      </c>
      <c r="D17" s="45" t="s">
        <v>1185</v>
      </c>
      <c r="E17" s="45" t="s">
        <v>1222</v>
      </c>
      <c r="F17" s="24" t="str">
        <f>HYPERLINK("https://mapwv.gov/flood/map/?wkid=102100&amp;x=-8830663.246562934&amp;y=4670688.377308937&amp;l=13&amp;v=2","FT")</f>
        <v>FT</v>
      </c>
      <c r="G17" s="29" t="s">
        <v>31</v>
      </c>
      <c r="H17" s="29" t="s">
        <v>24</v>
      </c>
      <c r="I17" s="45" t="s">
        <v>1262</v>
      </c>
      <c r="J17" s="51" t="s">
        <v>35</v>
      </c>
      <c r="K17" s="46" t="s">
        <v>74</v>
      </c>
      <c r="L17" s="44"/>
      <c r="M17" s="51" t="s">
        <v>56</v>
      </c>
      <c r="N17" s="3" t="s">
        <v>85</v>
      </c>
      <c r="O17" s="46" t="s">
        <v>87</v>
      </c>
      <c r="P17" s="45" t="s">
        <v>1304</v>
      </c>
      <c r="Q17" s="45" t="s">
        <v>29</v>
      </c>
      <c r="R17" s="23" t="s">
        <v>89</v>
      </c>
      <c r="S17" s="30">
        <v>500000</v>
      </c>
      <c r="T17" s="2" t="s">
        <v>42</v>
      </c>
      <c r="U17" s="31">
        <v>1.6511229999999999</v>
      </c>
      <c r="V17" s="31">
        <v>0.65112304700000001</v>
      </c>
      <c r="W17" s="32">
        <v>6.5112304689999997E-2</v>
      </c>
      <c r="X17" s="33">
        <v>32556.152340000001</v>
      </c>
    </row>
    <row r="18" spans="1:24" x14ac:dyDescent="0.3">
      <c r="A18" s="51" t="s">
        <v>1140</v>
      </c>
      <c r="B18" s="45" t="s">
        <v>1169</v>
      </c>
      <c r="C18" s="45" t="s">
        <v>1171</v>
      </c>
      <c r="D18" s="45" t="s">
        <v>1180</v>
      </c>
      <c r="E18" s="45" t="s">
        <v>1223</v>
      </c>
      <c r="F18" s="24" t="str">
        <f>HYPERLINK("https://mapwv.gov/flood/map/?wkid=102100&amp;x=-8824907.605874857&amp;y=4660474.943610331&amp;l=13&amp;v=2","FT")</f>
        <v>FT</v>
      </c>
      <c r="G18" s="29" t="s">
        <v>37</v>
      </c>
      <c r="H18" s="29" t="s">
        <v>24</v>
      </c>
      <c r="I18" s="45" t="s">
        <v>1257</v>
      </c>
      <c r="J18" s="51" t="s">
        <v>25</v>
      </c>
      <c r="K18" s="46" t="s">
        <v>119</v>
      </c>
      <c r="L18" s="44" t="s">
        <v>36</v>
      </c>
      <c r="M18" s="51" t="s">
        <v>27</v>
      </c>
      <c r="N18" s="3" t="s">
        <v>84</v>
      </c>
      <c r="O18" s="46" t="s">
        <v>148</v>
      </c>
      <c r="P18" s="45" t="s">
        <v>1305</v>
      </c>
      <c r="Q18" s="45" t="s">
        <v>29</v>
      </c>
      <c r="R18" s="23" t="s">
        <v>89</v>
      </c>
      <c r="S18" s="30">
        <v>474200</v>
      </c>
      <c r="T18" s="2" t="s">
        <v>30</v>
      </c>
      <c r="U18" s="31">
        <v>0</v>
      </c>
      <c r="V18" s="31">
        <v>-1</v>
      </c>
      <c r="W18" s="32">
        <v>0</v>
      </c>
      <c r="X18" s="33">
        <v>0</v>
      </c>
    </row>
    <row r="19" spans="1:24" x14ac:dyDescent="0.3">
      <c r="A19" s="51" t="s">
        <v>1141</v>
      </c>
      <c r="B19" s="45" t="s">
        <v>1169</v>
      </c>
      <c r="C19" s="45" t="s">
        <v>224</v>
      </c>
      <c r="D19" s="45" t="s">
        <v>1186</v>
      </c>
      <c r="E19" s="45" t="s">
        <v>1224</v>
      </c>
      <c r="F19" s="24" t="str">
        <f>HYPERLINK("https://mapwv.gov/flood/map/?wkid=102100&amp;x=-8835917.40352034&amp;y=4697886.918714532&amp;l=13&amp;v=2","FT")</f>
        <v>FT</v>
      </c>
      <c r="G19" s="29" t="s">
        <v>37</v>
      </c>
      <c r="H19" s="29" t="s">
        <v>24</v>
      </c>
      <c r="I19" s="45" t="s">
        <v>157</v>
      </c>
      <c r="J19" s="51" t="s">
        <v>35</v>
      </c>
      <c r="K19" s="46" t="s">
        <v>74</v>
      </c>
      <c r="L19" s="44"/>
      <c r="M19" s="51" t="s">
        <v>27</v>
      </c>
      <c r="N19" s="3" t="s">
        <v>84</v>
      </c>
      <c r="O19" s="46" t="s">
        <v>87</v>
      </c>
      <c r="P19" s="45" t="s">
        <v>165</v>
      </c>
      <c r="Q19" s="45" t="s">
        <v>29</v>
      </c>
      <c r="R19" s="23" t="s">
        <v>89</v>
      </c>
      <c r="S19" s="30">
        <v>471312</v>
      </c>
      <c r="T19" s="2" t="s">
        <v>91</v>
      </c>
      <c r="U19" s="31">
        <v>0</v>
      </c>
      <c r="V19" s="31">
        <v>-1</v>
      </c>
      <c r="W19" s="32">
        <v>0</v>
      </c>
      <c r="X19" s="33">
        <v>0</v>
      </c>
    </row>
    <row r="20" spans="1:24" x14ac:dyDescent="0.3">
      <c r="A20" s="51" t="s">
        <v>1142</v>
      </c>
      <c r="B20" s="45" t="s">
        <v>1169</v>
      </c>
      <c r="C20" s="45" t="s">
        <v>224</v>
      </c>
      <c r="D20" s="45" t="s">
        <v>1187</v>
      </c>
      <c r="E20" s="45" t="s">
        <v>1225</v>
      </c>
      <c r="F20" s="24" t="str">
        <f>HYPERLINK("https://mapwv.gov/flood/map/?wkid=102100&amp;x=-8836017.320221731&amp;y=4699614.088618188&amp;l=13&amp;v=2","FT")</f>
        <v>FT</v>
      </c>
      <c r="G20" s="29" t="s">
        <v>37</v>
      </c>
      <c r="H20" s="29" t="s">
        <v>24</v>
      </c>
      <c r="I20" s="45" t="s">
        <v>1263</v>
      </c>
      <c r="J20" s="51" t="s">
        <v>25</v>
      </c>
      <c r="K20" s="46" t="s">
        <v>93</v>
      </c>
      <c r="L20" s="44" t="s">
        <v>36</v>
      </c>
      <c r="M20" s="51" t="s">
        <v>49</v>
      </c>
      <c r="N20" s="3" t="s">
        <v>34</v>
      </c>
      <c r="O20" s="46" t="s">
        <v>88</v>
      </c>
      <c r="P20" s="45" t="s">
        <v>1306</v>
      </c>
      <c r="Q20" s="45" t="s">
        <v>29</v>
      </c>
      <c r="R20" s="23" t="s">
        <v>89</v>
      </c>
      <c r="S20" s="30">
        <v>457000</v>
      </c>
      <c r="T20" s="2" t="s">
        <v>30</v>
      </c>
      <c r="U20" s="31">
        <v>0</v>
      </c>
      <c r="V20" s="31">
        <v>-1</v>
      </c>
      <c r="W20" s="32">
        <v>0</v>
      </c>
      <c r="X20" s="33">
        <v>0</v>
      </c>
    </row>
    <row r="21" spans="1:24" x14ac:dyDescent="0.3">
      <c r="A21" s="51" t="s">
        <v>1143</v>
      </c>
      <c r="B21" s="45" t="s">
        <v>1169</v>
      </c>
      <c r="C21" s="45" t="s">
        <v>1171</v>
      </c>
      <c r="D21" s="45" t="s">
        <v>1188</v>
      </c>
      <c r="E21" s="45" t="s">
        <v>1226</v>
      </c>
      <c r="F21" s="24" t="str">
        <f>HYPERLINK("https://mapwv.gov/flood/map/?wkid=102100&amp;x=-8821570.388026072&amp;y=4667424.864956323&amp;l=13&amp;v=2","FT")</f>
        <v>FT</v>
      </c>
      <c r="G21" s="29" t="s">
        <v>1252</v>
      </c>
      <c r="H21" s="29" t="s">
        <v>24</v>
      </c>
      <c r="I21" s="45" t="s">
        <v>1264</v>
      </c>
      <c r="J21" s="51" t="s">
        <v>107</v>
      </c>
      <c r="K21" s="46" t="s">
        <v>121</v>
      </c>
      <c r="L21" s="44" t="s">
        <v>55</v>
      </c>
      <c r="M21" s="51" t="s">
        <v>62</v>
      </c>
      <c r="N21" s="3" t="s">
        <v>84</v>
      </c>
      <c r="O21" s="46" t="s">
        <v>87</v>
      </c>
      <c r="P21" s="45" t="s">
        <v>1307</v>
      </c>
      <c r="Q21" s="45" t="s">
        <v>29</v>
      </c>
      <c r="R21" s="23" t="s">
        <v>89</v>
      </c>
      <c r="S21" s="30">
        <v>436400</v>
      </c>
      <c r="T21" s="2" t="s">
        <v>42</v>
      </c>
      <c r="U21" s="31">
        <v>0.33618164</v>
      </c>
      <c r="V21" s="31">
        <v>-0.66381835899999997</v>
      </c>
      <c r="W21" s="32">
        <v>0</v>
      </c>
      <c r="X21" s="33">
        <v>0</v>
      </c>
    </row>
    <row r="22" spans="1:24" x14ac:dyDescent="0.3">
      <c r="A22" s="51" t="s">
        <v>1144</v>
      </c>
      <c r="B22" s="45" t="s">
        <v>1170</v>
      </c>
      <c r="C22" s="45" t="s">
        <v>226</v>
      </c>
      <c r="D22" s="45" t="s">
        <v>1189</v>
      </c>
      <c r="E22" s="45" t="s">
        <v>1227</v>
      </c>
      <c r="F22" s="24" t="str">
        <f>HYPERLINK("https://mapwv.gov/flood/map/?wkid=102100&amp;x=-8830688.506513868&amp;y=4670598.025854896&amp;l=13&amp;v=2","FT")</f>
        <v>FT</v>
      </c>
      <c r="G22" s="29" t="s">
        <v>31</v>
      </c>
      <c r="H22" s="29" t="s">
        <v>24</v>
      </c>
      <c r="I22" s="45" t="s">
        <v>1265</v>
      </c>
      <c r="J22" s="51" t="s">
        <v>35</v>
      </c>
      <c r="K22" s="46" t="s">
        <v>74</v>
      </c>
      <c r="L22" s="44"/>
      <c r="M22" s="51" t="s">
        <v>62</v>
      </c>
      <c r="N22" s="3" t="s">
        <v>84</v>
      </c>
      <c r="O22" s="46" t="s">
        <v>87</v>
      </c>
      <c r="P22" s="45" t="s">
        <v>1308</v>
      </c>
      <c r="Q22" s="45" t="s">
        <v>29</v>
      </c>
      <c r="R22" s="23" t="s">
        <v>89</v>
      </c>
      <c r="S22" s="30">
        <v>425000</v>
      </c>
      <c r="T22" s="2" t="s">
        <v>42</v>
      </c>
      <c r="U22" s="31">
        <v>0</v>
      </c>
      <c r="V22" s="31">
        <v>-1</v>
      </c>
      <c r="W22" s="32">
        <v>0</v>
      </c>
      <c r="X22" s="33">
        <v>0</v>
      </c>
    </row>
    <row r="23" spans="1:24" x14ac:dyDescent="0.3">
      <c r="A23" s="51" t="s">
        <v>1145</v>
      </c>
      <c r="B23" s="45" t="s">
        <v>1169</v>
      </c>
      <c r="C23" s="45" t="s">
        <v>1173</v>
      </c>
      <c r="D23" s="45" t="s">
        <v>1190</v>
      </c>
      <c r="E23" s="45" t="s">
        <v>1228</v>
      </c>
      <c r="F23" s="24" t="str">
        <f>HYPERLINK("https://mapwv.gov/flood/map/?wkid=102100&amp;x=-8828178.593858635&amp;y=4674669.871056493&amp;l=13&amp;v=2","FT")</f>
        <v>FT</v>
      </c>
      <c r="G23" s="29" t="s">
        <v>37</v>
      </c>
      <c r="H23" s="29" t="s">
        <v>24</v>
      </c>
      <c r="I23" s="45" t="s">
        <v>1266</v>
      </c>
      <c r="J23" s="51" t="s">
        <v>38</v>
      </c>
      <c r="K23" s="46" t="s">
        <v>122</v>
      </c>
      <c r="L23" s="44" t="s">
        <v>47</v>
      </c>
      <c r="M23" s="51" t="s">
        <v>56</v>
      </c>
      <c r="N23" s="3" t="s">
        <v>85</v>
      </c>
      <c r="O23" s="46" t="s">
        <v>87</v>
      </c>
      <c r="P23" s="45" t="s">
        <v>158</v>
      </c>
      <c r="Q23" s="45" t="s">
        <v>29</v>
      </c>
      <c r="R23" s="23" t="s">
        <v>89</v>
      </c>
      <c r="S23" s="30">
        <v>370000</v>
      </c>
      <c r="T23" s="2" t="s">
        <v>42</v>
      </c>
      <c r="U23" s="31">
        <v>0</v>
      </c>
      <c r="V23" s="31">
        <v>-1</v>
      </c>
      <c r="W23" s="32">
        <v>0</v>
      </c>
      <c r="X23" s="33">
        <v>0</v>
      </c>
    </row>
    <row r="24" spans="1:24" x14ac:dyDescent="0.3">
      <c r="A24" s="51" t="s">
        <v>1146</v>
      </c>
      <c r="B24" s="45" t="s">
        <v>1169</v>
      </c>
      <c r="C24" s="45" t="s">
        <v>1172</v>
      </c>
      <c r="D24" s="45" t="s">
        <v>1191</v>
      </c>
      <c r="E24" s="45" t="s">
        <v>1229</v>
      </c>
      <c r="F24" s="24" t="str">
        <f>HYPERLINK("https://mapwv.gov/flood/map/?wkid=102100&amp;x=-8831295.644018529&amp;y=4672324.621409637&amp;l=13&amp;v=2","FT")</f>
        <v>FT</v>
      </c>
      <c r="G24" s="29" t="s">
        <v>37</v>
      </c>
      <c r="H24" s="29" t="s">
        <v>24</v>
      </c>
      <c r="I24" s="45" t="s">
        <v>1267</v>
      </c>
      <c r="J24" s="51" t="s">
        <v>38</v>
      </c>
      <c r="K24" s="46" t="s">
        <v>1289</v>
      </c>
      <c r="L24" s="44" t="s">
        <v>36</v>
      </c>
      <c r="M24" s="51" t="s">
        <v>60</v>
      </c>
      <c r="N24" s="3" t="s">
        <v>40</v>
      </c>
      <c r="O24" s="46" t="s">
        <v>88</v>
      </c>
      <c r="P24" s="45" t="s">
        <v>1309</v>
      </c>
      <c r="Q24" s="45" t="s">
        <v>29</v>
      </c>
      <c r="R24" s="23" t="s">
        <v>89</v>
      </c>
      <c r="S24" s="30">
        <v>353500</v>
      </c>
      <c r="T24" s="2" t="s">
        <v>42</v>
      </c>
      <c r="U24" s="31">
        <v>0</v>
      </c>
      <c r="V24" s="31">
        <v>-1</v>
      </c>
      <c r="W24" s="32">
        <v>0</v>
      </c>
      <c r="X24" s="33">
        <v>0</v>
      </c>
    </row>
    <row r="25" spans="1:24" x14ac:dyDescent="0.3">
      <c r="A25" s="51" t="s">
        <v>1147</v>
      </c>
      <c r="B25" s="45" t="s">
        <v>1169</v>
      </c>
      <c r="C25" s="45" t="s">
        <v>224</v>
      </c>
      <c r="D25" s="45" t="s">
        <v>1179</v>
      </c>
      <c r="E25" s="45" t="s">
        <v>1230</v>
      </c>
      <c r="F25" s="24" t="str">
        <f>HYPERLINK("https://mapwv.gov/flood/map/?wkid=102100&amp;x=-8842808.122747129&amp;y=4685317.227906999&amp;l=13&amp;v=2","FT")</f>
        <v>FT</v>
      </c>
      <c r="G25" s="29" t="s">
        <v>1252</v>
      </c>
      <c r="H25" s="29" t="s">
        <v>24</v>
      </c>
      <c r="I25" s="45"/>
      <c r="J25" s="51" t="s">
        <v>35</v>
      </c>
      <c r="K25" s="46" t="s">
        <v>74</v>
      </c>
      <c r="L25" s="44"/>
      <c r="M25" s="51" t="s">
        <v>27</v>
      </c>
      <c r="N25" s="3" t="s">
        <v>84</v>
      </c>
      <c r="O25" s="46" t="s">
        <v>87</v>
      </c>
      <c r="P25" s="45" t="s">
        <v>1310</v>
      </c>
      <c r="Q25" s="45" t="s">
        <v>29</v>
      </c>
      <c r="R25" s="23" t="s">
        <v>89</v>
      </c>
      <c r="S25" s="30">
        <v>329258</v>
      </c>
      <c r="T25" s="2" t="s">
        <v>91</v>
      </c>
      <c r="U25" s="31">
        <v>2.5058593999999998</v>
      </c>
      <c r="V25" s="31">
        <v>1.505859375</v>
      </c>
      <c r="W25" s="32">
        <v>6.5175781249999995E-2</v>
      </c>
      <c r="X25" s="33">
        <v>21459.647379999999</v>
      </c>
    </row>
    <row r="26" spans="1:24" x14ac:dyDescent="0.3">
      <c r="A26" s="51" t="s">
        <v>1148</v>
      </c>
      <c r="B26" s="45" t="s">
        <v>1169</v>
      </c>
      <c r="C26" s="45" t="s">
        <v>224</v>
      </c>
      <c r="D26" s="45" t="s">
        <v>1192</v>
      </c>
      <c r="E26" s="45" t="s">
        <v>1231</v>
      </c>
      <c r="F26" s="24" t="str">
        <f>HYPERLINK("https://mapwv.gov/flood/map/?wkid=102100&amp;x=-8828749.991906822&amp;y=4708818.754564416&amp;l=13&amp;v=2","FT")</f>
        <v>FT</v>
      </c>
      <c r="G26" s="29" t="s">
        <v>1252</v>
      </c>
      <c r="H26" s="29" t="s">
        <v>24</v>
      </c>
      <c r="I26" s="45" t="s">
        <v>1268</v>
      </c>
      <c r="J26" s="51" t="s">
        <v>107</v>
      </c>
      <c r="K26" s="46" t="s">
        <v>93</v>
      </c>
      <c r="L26" s="44" t="s">
        <v>32</v>
      </c>
      <c r="M26" s="51" t="s">
        <v>61</v>
      </c>
      <c r="N26" s="3" t="s">
        <v>34</v>
      </c>
      <c r="O26" s="46" t="s">
        <v>88</v>
      </c>
      <c r="P26" s="45" t="s">
        <v>1311</v>
      </c>
      <c r="Q26" s="45" t="s">
        <v>29</v>
      </c>
      <c r="R26" s="23" t="s">
        <v>89</v>
      </c>
      <c r="S26" s="30">
        <v>314500</v>
      </c>
      <c r="T26" s="2" t="s">
        <v>30</v>
      </c>
      <c r="U26" s="31">
        <v>4.7199707000000002</v>
      </c>
      <c r="V26" s="31">
        <v>3.719970703</v>
      </c>
      <c r="W26" s="32">
        <v>0.12439941409999999</v>
      </c>
      <c r="X26" s="33">
        <v>39123.615720000002</v>
      </c>
    </row>
    <row r="27" spans="1:24" x14ac:dyDescent="0.3">
      <c r="A27" s="51" t="s">
        <v>1149</v>
      </c>
      <c r="B27" s="45" t="s">
        <v>1169</v>
      </c>
      <c r="C27" s="45" t="s">
        <v>224</v>
      </c>
      <c r="D27" s="45" t="s">
        <v>1193</v>
      </c>
      <c r="E27" s="45" t="s">
        <v>1232</v>
      </c>
      <c r="F27" s="24" t="str">
        <f>HYPERLINK("https://mapwv.gov/flood/map/?wkid=102100&amp;x=-8843417.30007014&amp;y=4684208.590204468&amp;l=13&amp;v=2","FT")</f>
        <v>FT</v>
      </c>
      <c r="G27" s="29" t="s">
        <v>37</v>
      </c>
      <c r="H27" s="29" t="s">
        <v>24</v>
      </c>
      <c r="I27" s="45" t="s">
        <v>1269</v>
      </c>
      <c r="J27" s="51" t="s">
        <v>25</v>
      </c>
      <c r="K27" s="46" t="s">
        <v>82</v>
      </c>
      <c r="L27" s="44" t="s">
        <v>48</v>
      </c>
      <c r="M27" s="51" t="s">
        <v>39</v>
      </c>
      <c r="N27" s="3" t="s">
        <v>40</v>
      </c>
      <c r="O27" s="46" t="s">
        <v>87</v>
      </c>
      <c r="P27" s="45" t="s">
        <v>135</v>
      </c>
      <c r="Q27" s="45" t="s">
        <v>50</v>
      </c>
      <c r="R27" s="23" t="s">
        <v>90</v>
      </c>
      <c r="S27" s="30">
        <v>307900</v>
      </c>
      <c r="T27" s="2" t="s">
        <v>42</v>
      </c>
      <c r="U27" s="31">
        <v>0.64257810000000004</v>
      </c>
      <c r="V27" s="31">
        <v>-3.357421875</v>
      </c>
      <c r="W27" s="32">
        <v>0</v>
      </c>
      <c r="X27" s="33">
        <v>0</v>
      </c>
    </row>
    <row r="28" spans="1:24" x14ac:dyDescent="0.3">
      <c r="A28" s="51" t="s">
        <v>1150</v>
      </c>
      <c r="B28" s="45" t="s">
        <v>1169</v>
      </c>
      <c r="C28" s="45" t="s">
        <v>224</v>
      </c>
      <c r="D28" s="45" t="s">
        <v>1194</v>
      </c>
      <c r="E28" s="45" t="s">
        <v>1233</v>
      </c>
      <c r="F28" s="24" t="str">
        <f>HYPERLINK("https://mapwv.gov/flood/map/?wkid=102100&amp;x=-8838296.302485742&amp;y=4693867.7202933375&amp;l=13&amp;v=2","FT")</f>
        <v>FT</v>
      </c>
      <c r="G28" s="29" t="s">
        <v>37</v>
      </c>
      <c r="H28" s="29" t="s">
        <v>24</v>
      </c>
      <c r="I28" s="45" t="s">
        <v>1270</v>
      </c>
      <c r="J28" s="51" t="s">
        <v>25</v>
      </c>
      <c r="K28" s="46" t="s">
        <v>94</v>
      </c>
      <c r="L28" s="44" t="s">
        <v>43</v>
      </c>
      <c r="M28" s="51" t="s">
        <v>39</v>
      </c>
      <c r="N28" s="3" t="s">
        <v>40</v>
      </c>
      <c r="O28" s="46" t="s">
        <v>88</v>
      </c>
      <c r="P28" s="45" t="s">
        <v>1312</v>
      </c>
      <c r="Q28" s="45" t="s">
        <v>41</v>
      </c>
      <c r="R28" s="23" t="s">
        <v>90</v>
      </c>
      <c r="S28" s="30">
        <v>294000</v>
      </c>
      <c r="T28" s="2" t="s">
        <v>42</v>
      </c>
      <c r="U28" s="31">
        <v>0</v>
      </c>
      <c r="V28" s="31">
        <v>-4</v>
      </c>
      <c r="W28" s="32">
        <v>0</v>
      </c>
      <c r="X28" s="33">
        <v>0</v>
      </c>
    </row>
    <row r="29" spans="1:24" x14ac:dyDescent="0.3">
      <c r="A29" s="51" t="s">
        <v>1151</v>
      </c>
      <c r="B29" s="45" t="s">
        <v>1169</v>
      </c>
      <c r="C29" s="45" t="s">
        <v>224</v>
      </c>
      <c r="D29" s="45" t="s">
        <v>1195</v>
      </c>
      <c r="E29" s="45" t="s">
        <v>1234</v>
      </c>
      <c r="F29" s="24" t="str">
        <f>HYPERLINK("https://mapwv.gov/flood/map/?wkid=102100&amp;x=-8846461.818457333&amp;y=4679234.573120796&amp;l=13&amp;v=2","FT")</f>
        <v>FT</v>
      </c>
      <c r="G29" s="29" t="s">
        <v>37</v>
      </c>
      <c r="H29" s="29" t="s">
        <v>24</v>
      </c>
      <c r="I29" s="45" t="s">
        <v>1271</v>
      </c>
      <c r="J29" s="51" t="s">
        <v>25</v>
      </c>
      <c r="K29" s="46" t="s">
        <v>125</v>
      </c>
      <c r="L29" s="44" t="s">
        <v>43</v>
      </c>
      <c r="M29" s="51" t="s">
        <v>39</v>
      </c>
      <c r="N29" s="3" t="s">
        <v>40</v>
      </c>
      <c r="O29" s="46" t="s">
        <v>87</v>
      </c>
      <c r="P29" s="45" t="s">
        <v>1313</v>
      </c>
      <c r="Q29" s="45" t="s">
        <v>41</v>
      </c>
      <c r="R29" s="23" t="s">
        <v>90</v>
      </c>
      <c r="S29" s="30">
        <v>283400</v>
      </c>
      <c r="T29" s="2" t="s">
        <v>42</v>
      </c>
      <c r="U29" s="31">
        <v>0</v>
      </c>
      <c r="V29" s="31">
        <v>-4</v>
      </c>
      <c r="W29" s="32">
        <v>0</v>
      </c>
      <c r="X29" s="33">
        <v>0</v>
      </c>
    </row>
    <row r="30" spans="1:24" x14ac:dyDescent="0.3">
      <c r="A30" s="51" t="s">
        <v>1152</v>
      </c>
      <c r="B30" s="45" t="s">
        <v>1169</v>
      </c>
      <c r="C30" s="45" t="s">
        <v>115</v>
      </c>
      <c r="D30" s="45" t="s">
        <v>1196</v>
      </c>
      <c r="E30" s="45" t="s">
        <v>1235</v>
      </c>
      <c r="F30" s="24" t="str">
        <f>HYPERLINK("https://mapwv.gov/flood/map/?wkid=102100&amp;x=-8852377.625294803&amp;y=4670119.366538254&amp;l=13&amp;v=2","FT")</f>
        <v>FT</v>
      </c>
      <c r="G30" s="29" t="s">
        <v>1252</v>
      </c>
      <c r="H30" s="29" t="s">
        <v>24</v>
      </c>
      <c r="I30" s="45" t="s">
        <v>1272</v>
      </c>
      <c r="J30" s="51" t="s">
        <v>25</v>
      </c>
      <c r="K30" s="46" t="s">
        <v>77</v>
      </c>
      <c r="L30" s="44" t="s">
        <v>43</v>
      </c>
      <c r="M30" s="51" t="s">
        <v>39</v>
      </c>
      <c r="N30" s="3" t="s">
        <v>40</v>
      </c>
      <c r="O30" s="46" t="s">
        <v>88</v>
      </c>
      <c r="P30" s="45" t="s">
        <v>1314</v>
      </c>
      <c r="Q30" s="45" t="s">
        <v>50</v>
      </c>
      <c r="R30" s="23" t="s">
        <v>90</v>
      </c>
      <c r="S30" s="30">
        <v>256900</v>
      </c>
      <c r="T30" s="2" t="s">
        <v>42</v>
      </c>
      <c r="U30" s="31">
        <v>2.2690429999999999</v>
      </c>
      <c r="V30" s="31">
        <v>-1.730957031</v>
      </c>
      <c r="W30" s="32">
        <v>0</v>
      </c>
      <c r="X30" s="33">
        <v>0</v>
      </c>
    </row>
    <row r="31" spans="1:24" x14ac:dyDescent="0.3">
      <c r="A31" s="51" t="s">
        <v>1153</v>
      </c>
      <c r="B31" s="45" t="s">
        <v>1169</v>
      </c>
      <c r="C31" s="45" t="s">
        <v>1171</v>
      </c>
      <c r="D31" s="45" t="s">
        <v>1197</v>
      </c>
      <c r="E31" s="45" t="s">
        <v>1236</v>
      </c>
      <c r="F31" s="24" t="str">
        <f>HYPERLINK("https://mapwv.gov/flood/map/?wkid=102100&amp;x=-8829764.47481289&amp;y=4651685.126520464&amp;l=13&amp;v=2","FT")</f>
        <v>FT</v>
      </c>
      <c r="G31" s="29" t="s">
        <v>37</v>
      </c>
      <c r="H31" s="29" t="s">
        <v>24</v>
      </c>
      <c r="I31" s="45" t="s">
        <v>1273</v>
      </c>
      <c r="J31" s="51" t="s">
        <v>38</v>
      </c>
      <c r="K31" s="46" t="s">
        <v>1290</v>
      </c>
      <c r="L31" s="44" t="s">
        <v>48</v>
      </c>
      <c r="M31" s="51" t="s">
        <v>39</v>
      </c>
      <c r="N31" s="3" t="s">
        <v>40</v>
      </c>
      <c r="O31" s="46" t="s">
        <v>88</v>
      </c>
      <c r="P31" s="45" t="s">
        <v>1315</v>
      </c>
      <c r="Q31" s="45" t="s">
        <v>29</v>
      </c>
      <c r="R31" s="23" t="s">
        <v>89</v>
      </c>
      <c r="S31" s="30">
        <v>256500</v>
      </c>
      <c r="T31" s="2" t="s">
        <v>42</v>
      </c>
      <c r="U31" s="31">
        <v>0</v>
      </c>
      <c r="V31" s="31">
        <v>-1</v>
      </c>
      <c r="W31" s="32">
        <v>0</v>
      </c>
      <c r="X31" s="33">
        <v>0</v>
      </c>
    </row>
    <row r="32" spans="1:24" x14ac:dyDescent="0.3">
      <c r="A32" s="51" t="s">
        <v>1154</v>
      </c>
      <c r="B32" s="45" t="s">
        <v>1169</v>
      </c>
      <c r="C32" s="45" t="s">
        <v>1174</v>
      </c>
      <c r="D32" s="45" t="s">
        <v>1198</v>
      </c>
      <c r="E32" s="45" t="s">
        <v>1237</v>
      </c>
      <c r="F32" s="24" t="str">
        <f>HYPERLINK("https://mapwv.gov/flood/map/?wkid=102100&amp;x=-8837063.02256767&amp;y=4698154.809881377&amp;l=13&amp;v=2","FT")</f>
        <v>FT</v>
      </c>
      <c r="G32" s="29" t="s">
        <v>37</v>
      </c>
      <c r="H32" s="29" t="s">
        <v>24</v>
      </c>
      <c r="I32" s="45" t="s">
        <v>1274</v>
      </c>
      <c r="J32" s="51" t="s">
        <v>38</v>
      </c>
      <c r="K32" s="46" t="s">
        <v>96</v>
      </c>
      <c r="L32" s="44" t="s">
        <v>36</v>
      </c>
      <c r="M32" s="51" t="s">
        <v>49</v>
      </c>
      <c r="N32" s="3" t="s">
        <v>34</v>
      </c>
      <c r="O32" s="46" t="s">
        <v>87</v>
      </c>
      <c r="P32" s="45" t="s">
        <v>1316</v>
      </c>
      <c r="Q32" s="45" t="s">
        <v>29</v>
      </c>
      <c r="R32" s="23" t="s">
        <v>89</v>
      </c>
      <c r="S32" s="30">
        <v>247300</v>
      </c>
      <c r="T32" s="2" t="s">
        <v>30</v>
      </c>
      <c r="U32" s="31">
        <v>0.27001953000000001</v>
      </c>
      <c r="V32" s="31">
        <v>-0.72998046900000002</v>
      </c>
      <c r="W32" s="32">
        <v>2.7001953099999999E-3</v>
      </c>
      <c r="X32" s="33">
        <v>667.75830080000003</v>
      </c>
    </row>
    <row r="33" spans="1:24" x14ac:dyDescent="0.3">
      <c r="A33" s="51" t="s">
        <v>1155</v>
      </c>
      <c r="B33" s="45" t="s">
        <v>1169</v>
      </c>
      <c r="C33" s="45" t="s">
        <v>224</v>
      </c>
      <c r="D33" s="45" t="s">
        <v>1199</v>
      </c>
      <c r="E33" s="45" t="s">
        <v>1238</v>
      </c>
      <c r="F33" s="24" t="str">
        <f>HYPERLINK("https://mapwv.gov/flood/map/?wkid=102100&amp;x=-8838218.676287865&amp;y=4693958.045347381&amp;l=13&amp;v=2","FT")</f>
        <v>FT</v>
      </c>
      <c r="G33" s="29" t="s">
        <v>37</v>
      </c>
      <c r="H33" s="29" t="s">
        <v>24</v>
      </c>
      <c r="I33" s="45" t="s">
        <v>1275</v>
      </c>
      <c r="J33" s="51" t="s">
        <v>38</v>
      </c>
      <c r="K33" s="46" t="s">
        <v>133</v>
      </c>
      <c r="L33" s="44" t="s">
        <v>55</v>
      </c>
      <c r="M33" s="51" t="s">
        <v>39</v>
      </c>
      <c r="N33" s="3" t="s">
        <v>40</v>
      </c>
      <c r="O33" s="46" t="s">
        <v>88</v>
      </c>
      <c r="P33" s="45" t="s">
        <v>1317</v>
      </c>
      <c r="Q33" s="45" t="s">
        <v>50</v>
      </c>
      <c r="R33" s="23" t="s">
        <v>105</v>
      </c>
      <c r="S33" s="30">
        <v>244200</v>
      </c>
      <c r="T33" s="2" t="s">
        <v>42</v>
      </c>
      <c r="U33" s="31">
        <v>0.45983887000000001</v>
      </c>
      <c r="V33" s="31">
        <v>-2.5401611329999998</v>
      </c>
      <c r="W33" s="32">
        <v>0</v>
      </c>
      <c r="X33" s="33">
        <v>0</v>
      </c>
    </row>
    <row r="34" spans="1:24" x14ac:dyDescent="0.3">
      <c r="A34" s="51" t="s">
        <v>1156</v>
      </c>
      <c r="B34" s="45" t="s">
        <v>1170</v>
      </c>
      <c r="C34" s="45" t="s">
        <v>226</v>
      </c>
      <c r="D34" s="45" t="s">
        <v>1200</v>
      </c>
      <c r="E34" s="45" t="s">
        <v>1239</v>
      </c>
      <c r="F34" s="24" t="str">
        <f>HYPERLINK("https://mapwv.gov/flood/map/?wkid=102100&amp;x=-8830829.160694232&amp;y=4670490.762306489&amp;l=13&amp;v=2","FT")</f>
        <v>FT</v>
      </c>
      <c r="G34" s="29" t="s">
        <v>31</v>
      </c>
      <c r="H34" s="29" t="s">
        <v>24</v>
      </c>
      <c r="I34" s="45" t="s">
        <v>1276</v>
      </c>
      <c r="J34" s="51" t="s">
        <v>25</v>
      </c>
      <c r="K34" s="46" t="s">
        <v>82</v>
      </c>
      <c r="L34" s="44" t="s">
        <v>51</v>
      </c>
      <c r="M34" s="51" t="s">
        <v>49</v>
      </c>
      <c r="N34" s="3" t="s">
        <v>34</v>
      </c>
      <c r="O34" s="46" t="s">
        <v>87</v>
      </c>
      <c r="P34" s="45" t="s">
        <v>391</v>
      </c>
      <c r="Q34" s="45" t="s">
        <v>29</v>
      </c>
      <c r="R34" s="23" t="s">
        <v>89</v>
      </c>
      <c r="S34" s="30">
        <v>243900</v>
      </c>
      <c r="T34" s="2" t="s">
        <v>42</v>
      </c>
      <c r="U34" s="31">
        <v>3.0327147999999999</v>
      </c>
      <c r="V34" s="31">
        <v>2.032714844</v>
      </c>
      <c r="W34" s="32">
        <v>0.11032714840000001</v>
      </c>
      <c r="X34" s="33">
        <v>26908.791499999999</v>
      </c>
    </row>
    <row r="35" spans="1:24" x14ac:dyDescent="0.3">
      <c r="A35" s="51" t="s">
        <v>1157</v>
      </c>
      <c r="B35" s="45" t="s">
        <v>1169</v>
      </c>
      <c r="C35" s="45" t="s">
        <v>226</v>
      </c>
      <c r="D35" s="45" t="s">
        <v>1201</v>
      </c>
      <c r="E35" s="45" t="s">
        <v>1240</v>
      </c>
      <c r="F35" s="24" t="str">
        <f>HYPERLINK("https://mapwv.gov/flood/map/?wkid=102100&amp;x=-8826797.346737567&amp;y=4697172.982252813&amp;l=13&amp;v=2","FT")</f>
        <v>FT</v>
      </c>
      <c r="G35" s="29" t="s">
        <v>37</v>
      </c>
      <c r="H35" s="29" t="s">
        <v>24</v>
      </c>
      <c r="I35" s="45" t="s">
        <v>1277</v>
      </c>
      <c r="J35" s="51" t="s">
        <v>25</v>
      </c>
      <c r="K35" s="46" t="s">
        <v>72</v>
      </c>
      <c r="L35" s="44" t="s">
        <v>48</v>
      </c>
      <c r="M35" s="51" t="s">
        <v>39</v>
      </c>
      <c r="N35" s="3" t="s">
        <v>40</v>
      </c>
      <c r="O35" s="46" t="s">
        <v>87</v>
      </c>
      <c r="P35" s="45" t="s">
        <v>1318</v>
      </c>
      <c r="Q35" s="45" t="s">
        <v>41</v>
      </c>
      <c r="R35" s="23" t="s">
        <v>90</v>
      </c>
      <c r="S35" s="30">
        <v>243900</v>
      </c>
      <c r="T35" s="2" t="s">
        <v>42</v>
      </c>
      <c r="U35" s="31">
        <v>0.63183593999999998</v>
      </c>
      <c r="V35" s="31">
        <v>-3.368164063</v>
      </c>
      <c r="W35" s="32">
        <v>0</v>
      </c>
      <c r="X35" s="33">
        <v>0</v>
      </c>
    </row>
    <row r="36" spans="1:24" x14ac:dyDescent="0.3">
      <c r="A36" s="51" t="s">
        <v>1158</v>
      </c>
      <c r="B36" s="45" t="s">
        <v>1169</v>
      </c>
      <c r="C36" s="45" t="s">
        <v>1171</v>
      </c>
      <c r="D36" s="45" t="s">
        <v>1180</v>
      </c>
      <c r="E36" s="45" t="s">
        <v>1241</v>
      </c>
      <c r="F36" s="24" t="str">
        <f>HYPERLINK("https://mapwv.gov/flood/map/?wkid=102100&amp;x=-8824951.669134937&amp;y=4660339.5977094155&amp;l=13&amp;v=2","FT")</f>
        <v>FT</v>
      </c>
      <c r="G36" s="29" t="s">
        <v>37</v>
      </c>
      <c r="H36" s="29" t="s">
        <v>24</v>
      </c>
      <c r="I36" s="45" t="s">
        <v>1257</v>
      </c>
      <c r="J36" s="51" t="s">
        <v>25</v>
      </c>
      <c r="K36" s="46" t="s">
        <v>119</v>
      </c>
      <c r="L36" s="44" t="s">
        <v>36</v>
      </c>
      <c r="M36" s="51" t="s">
        <v>27</v>
      </c>
      <c r="N36" s="3" t="s">
        <v>84</v>
      </c>
      <c r="O36" s="46" t="s">
        <v>148</v>
      </c>
      <c r="P36" s="45" t="s">
        <v>150</v>
      </c>
      <c r="Q36" s="45" t="s">
        <v>29</v>
      </c>
      <c r="R36" s="23" t="s">
        <v>89</v>
      </c>
      <c r="S36" s="30">
        <v>242600</v>
      </c>
      <c r="T36" s="2" t="s">
        <v>30</v>
      </c>
      <c r="U36" s="31">
        <v>0</v>
      </c>
      <c r="V36" s="31">
        <v>-1</v>
      </c>
      <c r="W36" s="32">
        <v>0</v>
      </c>
      <c r="X36" s="33">
        <v>0</v>
      </c>
    </row>
    <row r="37" spans="1:24" x14ac:dyDescent="0.3">
      <c r="A37" s="51" t="s">
        <v>1159</v>
      </c>
      <c r="B37" s="45" t="s">
        <v>1169</v>
      </c>
      <c r="C37" s="45" t="s">
        <v>226</v>
      </c>
      <c r="D37" s="45" t="s">
        <v>1202</v>
      </c>
      <c r="E37" s="45" t="s">
        <v>1242</v>
      </c>
      <c r="F37" s="24" t="str">
        <f>HYPERLINK("https://mapwv.gov/flood/map/?wkid=102100&amp;x=-8833375.869116591&amp;y=4665973.550766905&amp;l=13&amp;v=2","FT")</f>
        <v>FT</v>
      </c>
      <c r="G37" s="29" t="s">
        <v>37</v>
      </c>
      <c r="H37" s="29" t="s">
        <v>24</v>
      </c>
      <c r="I37" s="45" t="s">
        <v>1278</v>
      </c>
      <c r="J37" s="51" t="s">
        <v>38</v>
      </c>
      <c r="K37" s="46" t="s">
        <v>803</v>
      </c>
      <c r="L37" s="44" t="s">
        <v>26</v>
      </c>
      <c r="M37" s="51" t="s">
        <v>39</v>
      </c>
      <c r="N37" s="3" t="s">
        <v>40</v>
      </c>
      <c r="O37" s="46" t="s">
        <v>88</v>
      </c>
      <c r="P37" s="45" t="s">
        <v>1319</v>
      </c>
      <c r="Q37" s="45" t="s">
        <v>41</v>
      </c>
      <c r="R37" s="23" t="s">
        <v>90</v>
      </c>
      <c r="S37" s="30">
        <v>240700</v>
      </c>
      <c r="T37" s="2" t="s">
        <v>42</v>
      </c>
      <c r="U37" s="31">
        <v>1.305542</v>
      </c>
      <c r="V37" s="31">
        <v>-2.6944580079999998</v>
      </c>
      <c r="W37" s="32">
        <v>5.2221679690000002E-2</v>
      </c>
      <c r="X37" s="33">
        <v>12569.7583</v>
      </c>
    </row>
    <row r="38" spans="1:24" x14ac:dyDescent="0.3">
      <c r="A38" s="51" t="s">
        <v>1160</v>
      </c>
      <c r="B38" s="45" t="s">
        <v>1169</v>
      </c>
      <c r="C38" s="45" t="s">
        <v>1174</v>
      </c>
      <c r="D38" s="45" t="s">
        <v>1203</v>
      </c>
      <c r="E38" s="45" t="s">
        <v>1243</v>
      </c>
      <c r="F38" s="24" t="str">
        <f>HYPERLINK("https://mapwv.gov/flood/map/?wkid=102100&amp;x=-8837180.200691948&amp;y=4698255.084335041&amp;l=13&amp;v=2","FT")</f>
        <v>FT</v>
      </c>
      <c r="G38" s="29" t="s">
        <v>37</v>
      </c>
      <c r="H38" s="29" t="s">
        <v>24</v>
      </c>
      <c r="I38" s="45" t="s">
        <v>1279</v>
      </c>
      <c r="J38" s="51" t="s">
        <v>35</v>
      </c>
      <c r="K38" s="46" t="s">
        <v>74</v>
      </c>
      <c r="L38" s="44"/>
      <c r="M38" s="51" t="s">
        <v>56</v>
      </c>
      <c r="N38" s="3" t="s">
        <v>85</v>
      </c>
      <c r="O38" s="46" t="s">
        <v>87</v>
      </c>
      <c r="P38" s="45" t="s">
        <v>1320</v>
      </c>
      <c r="Q38" s="45" t="s">
        <v>29</v>
      </c>
      <c r="R38" s="23" t="s">
        <v>89</v>
      </c>
      <c r="S38" s="30">
        <v>238798</v>
      </c>
      <c r="T38" s="2" t="s">
        <v>91</v>
      </c>
      <c r="U38" s="31">
        <v>0.31201171999999999</v>
      </c>
      <c r="V38" s="31">
        <v>-0.68798828099999998</v>
      </c>
      <c r="W38" s="32">
        <v>0</v>
      </c>
      <c r="X38" s="33">
        <v>0</v>
      </c>
    </row>
    <row r="39" spans="1:24" x14ac:dyDescent="0.3">
      <c r="A39" s="51" t="s">
        <v>1161</v>
      </c>
      <c r="B39" s="45" t="s">
        <v>1169</v>
      </c>
      <c r="C39" s="45" t="s">
        <v>226</v>
      </c>
      <c r="D39" s="45" t="s">
        <v>1204</v>
      </c>
      <c r="E39" s="45" t="s">
        <v>1244</v>
      </c>
      <c r="F39" s="24" t="str">
        <f>HYPERLINK("https://mapwv.gov/flood/map/?wkid=102100&amp;x=-8832187.506501738&amp;y=4667923.052232268&amp;l=13&amp;v=2","FT")</f>
        <v>FT</v>
      </c>
      <c r="G39" s="29" t="s">
        <v>37</v>
      </c>
      <c r="H39" s="29" t="s">
        <v>24</v>
      </c>
      <c r="I39" s="45" t="s">
        <v>1280</v>
      </c>
      <c r="J39" s="51" t="s">
        <v>38</v>
      </c>
      <c r="K39" s="46" t="s">
        <v>129</v>
      </c>
      <c r="L39" s="44" t="s">
        <v>55</v>
      </c>
      <c r="M39" s="51" t="s">
        <v>39</v>
      </c>
      <c r="N39" s="3" t="s">
        <v>40</v>
      </c>
      <c r="O39" s="46" t="s">
        <v>87</v>
      </c>
      <c r="P39" s="45" t="s">
        <v>140</v>
      </c>
      <c r="Q39" s="45" t="s">
        <v>50</v>
      </c>
      <c r="R39" s="23" t="s">
        <v>105</v>
      </c>
      <c r="S39" s="30">
        <v>217500</v>
      </c>
      <c r="T39" s="2" t="s">
        <v>42</v>
      </c>
      <c r="U39" s="31">
        <v>0.21289062</v>
      </c>
      <c r="V39" s="31">
        <v>-2.787109375</v>
      </c>
      <c r="W39" s="32">
        <v>0</v>
      </c>
      <c r="X39" s="33">
        <v>0</v>
      </c>
    </row>
    <row r="40" spans="1:24" x14ac:dyDescent="0.3">
      <c r="A40" s="51" t="s">
        <v>1162</v>
      </c>
      <c r="B40" s="45" t="s">
        <v>1169</v>
      </c>
      <c r="C40" s="45" t="s">
        <v>1175</v>
      </c>
      <c r="D40" s="45" t="s">
        <v>1205</v>
      </c>
      <c r="E40" s="45" t="s">
        <v>1245</v>
      </c>
      <c r="F40" s="24" t="str">
        <f>HYPERLINK("https://mapwv.gov/flood/map/?wkid=102100&amp;x=-8841832.61324006&amp;y=4667830.65619878&amp;l=13&amp;v=2","FT")</f>
        <v>FT</v>
      </c>
      <c r="G40" s="29" t="s">
        <v>37</v>
      </c>
      <c r="H40" s="29" t="s">
        <v>24</v>
      </c>
      <c r="I40" s="45" t="s">
        <v>1281</v>
      </c>
      <c r="J40" s="51" t="s">
        <v>38</v>
      </c>
      <c r="K40" s="46" t="s">
        <v>130</v>
      </c>
      <c r="L40" s="44" t="s">
        <v>55</v>
      </c>
      <c r="M40" s="51" t="s">
        <v>39</v>
      </c>
      <c r="N40" s="3" t="s">
        <v>40</v>
      </c>
      <c r="O40" s="46" t="s">
        <v>87</v>
      </c>
      <c r="P40" s="45" t="s">
        <v>1321</v>
      </c>
      <c r="Q40" s="45" t="s">
        <v>41</v>
      </c>
      <c r="R40" s="23" t="s">
        <v>90</v>
      </c>
      <c r="S40" s="30">
        <v>216500</v>
      </c>
      <c r="T40" s="2" t="s">
        <v>42</v>
      </c>
      <c r="U40" s="31">
        <v>0</v>
      </c>
      <c r="V40" s="31">
        <v>-4</v>
      </c>
      <c r="W40" s="32">
        <v>0</v>
      </c>
      <c r="X40" s="33">
        <v>0</v>
      </c>
    </row>
    <row r="41" spans="1:24" x14ac:dyDescent="0.3">
      <c r="A41" s="51" t="s">
        <v>1163</v>
      </c>
      <c r="B41" s="45" t="s">
        <v>1169</v>
      </c>
      <c r="C41" s="45" t="s">
        <v>224</v>
      </c>
      <c r="D41" s="45" t="s">
        <v>1206</v>
      </c>
      <c r="E41" s="45" t="s">
        <v>1246</v>
      </c>
      <c r="F41" s="24" t="str">
        <f>HYPERLINK("https://mapwv.gov/flood/map/?wkid=102100&amp;x=-8854186.063188178&amp;y=4664452.738408087&amp;l=13&amp;v=2","FT")</f>
        <v>FT</v>
      </c>
      <c r="G41" s="29" t="s">
        <v>37</v>
      </c>
      <c r="H41" s="29" t="s">
        <v>24</v>
      </c>
      <c r="I41" s="45" t="s">
        <v>1282</v>
      </c>
      <c r="J41" s="51" t="s">
        <v>38</v>
      </c>
      <c r="K41" s="46" t="s">
        <v>143</v>
      </c>
      <c r="L41" s="44" t="s">
        <v>26</v>
      </c>
      <c r="M41" s="51" t="s">
        <v>39</v>
      </c>
      <c r="N41" s="3" t="s">
        <v>40</v>
      </c>
      <c r="O41" s="46" t="s">
        <v>88</v>
      </c>
      <c r="P41" s="45" t="s">
        <v>1322</v>
      </c>
      <c r="Q41" s="45" t="s">
        <v>41</v>
      </c>
      <c r="R41" s="23" t="s">
        <v>90</v>
      </c>
      <c r="S41" s="30">
        <v>213800</v>
      </c>
      <c r="T41" s="2" t="s">
        <v>42</v>
      </c>
      <c r="U41" s="31">
        <v>0</v>
      </c>
      <c r="V41" s="31">
        <v>-4</v>
      </c>
      <c r="W41" s="32">
        <v>0</v>
      </c>
      <c r="X41" s="33">
        <v>0</v>
      </c>
    </row>
    <row r="42" spans="1:24" x14ac:dyDescent="0.3">
      <c r="A42" s="51" t="s">
        <v>1164</v>
      </c>
      <c r="B42" s="45" t="s">
        <v>1169</v>
      </c>
      <c r="C42" s="45" t="s">
        <v>224</v>
      </c>
      <c r="D42" s="45" t="s">
        <v>1207</v>
      </c>
      <c r="E42" s="45" t="s">
        <v>1247</v>
      </c>
      <c r="F42" s="24" t="str">
        <f>HYPERLINK("https://mapwv.gov/flood/map/?wkid=102100&amp;x=-8847856.065023255&amp;y=4676680.34508334&amp;l=13&amp;v=2","FT")</f>
        <v>FT</v>
      </c>
      <c r="G42" s="29" t="s">
        <v>37</v>
      </c>
      <c r="H42" s="29" t="s">
        <v>24</v>
      </c>
      <c r="I42" s="45" t="s">
        <v>1283</v>
      </c>
      <c r="J42" s="51" t="s">
        <v>38</v>
      </c>
      <c r="K42" s="46" t="s">
        <v>162</v>
      </c>
      <c r="L42" s="44" t="s">
        <v>55</v>
      </c>
      <c r="M42" s="51" t="s">
        <v>39</v>
      </c>
      <c r="N42" s="3" t="s">
        <v>40</v>
      </c>
      <c r="O42" s="46" t="s">
        <v>88</v>
      </c>
      <c r="P42" s="45" t="s">
        <v>1323</v>
      </c>
      <c r="Q42" s="45" t="s">
        <v>41</v>
      </c>
      <c r="R42" s="23" t="s">
        <v>90</v>
      </c>
      <c r="S42" s="30">
        <v>212100</v>
      </c>
      <c r="T42" s="2" t="s">
        <v>42</v>
      </c>
      <c r="U42" s="31">
        <v>0</v>
      </c>
      <c r="V42" s="31">
        <v>-4</v>
      </c>
      <c r="W42" s="32">
        <v>0</v>
      </c>
      <c r="X42" s="33">
        <v>0</v>
      </c>
    </row>
    <row r="43" spans="1:24" x14ac:dyDescent="0.3">
      <c r="A43" s="51" t="s">
        <v>1165</v>
      </c>
      <c r="B43" s="45" t="s">
        <v>1169</v>
      </c>
      <c r="C43" s="45" t="s">
        <v>224</v>
      </c>
      <c r="D43" s="45" t="s">
        <v>1208</v>
      </c>
      <c r="E43" s="45" t="s">
        <v>1248</v>
      </c>
      <c r="F43" s="24" t="str">
        <f>HYPERLINK("https://mapwv.gov/flood/map/?wkid=102100&amp;x=-8848962.689186925&amp;y=4674662.822851893&amp;l=13&amp;v=2","FT")</f>
        <v>FT</v>
      </c>
      <c r="G43" s="29" t="s">
        <v>37</v>
      </c>
      <c r="H43" s="29" t="s">
        <v>24</v>
      </c>
      <c r="I43" s="45" t="s">
        <v>1284</v>
      </c>
      <c r="J43" s="51" t="s">
        <v>38</v>
      </c>
      <c r="K43" s="46" t="s">
        <v>1291</v>
      </c>
      <c r="L43" s="44" t="s">
        <v>48</v>
      </c>
      <c r="M43" s="51" t="s">
        <v>39</v>
      </c>
      <c r="N43" s="3" t="s">
        <v>40</v>
      </c>
      <c r="O43" s="46" t="s">
        <v>88</v>
      </c>
      <c r="P43" s="45" t="s">
        <v>1324</v>
      </c>
      <c r="Q43" s="45" t="s">
        <v>41</v>
      </c>
      <c r="R43" s="23" t="s">
        <v>90</v>
      </c>
      <c r="S43" s="30">
        <v>207600</v>
      </c>
      <c r="T43" s="2" t="s">
        <v>42</v>
      </c>
      <c r="U43" s="31">
        <v>0</v>
      </c>
      <c r="V43" s="31">
        <v>-4</v>
      </c>
      <c r="W43" s="32">
        <v>0</v>
      </c>
      <c r="X43" s="33">
        <v>0</v>
      </c>
    </row>
    <row r="44" spans="1:24" x14ac:dyDescent="0.3">
      <c r="A44" s="51" t="s">
        <v>1166</v>
      </c>
      <c r="B44" s="45" t="s">
        <v>1169</v>
      </c>
      <c r="C44" s="45" t="s">
        <v>226</v>
      </c>
      <c r="D44" s="45" t="s">
        <v>1209</v>
      </c>
      <c r="E44" s="45" t="s">
        <v>1249</v>
      </c>
      <c r="F44" s="24" t="str">
        <f>HYPERLINK("https://mapwv.gov/flood/map/?wkid=102100&amp;x=-8843235.388660088&amp;y=4657292.301950347&amp;l=13&amp;v=2","FT")</f>
        <v>FT</v>
      </c>
      <c r="G44" s="29" t="s">
        <v>37</v>
      </c>
      <c r="H44" s="29" t="s">
        <v>24</v>
      </c>
      <c r="I44" s="45" t="s">
        <v>1285</v>
      </c>
      <c r="J44" s="51" t="s">
        <v>38</v>
      </c>
      <c r="K44" s="46" t="s">
        <v>1292</v>
      </c>
      <c r="L44" s="44" t="s">
        <v>43</v>
      </c>
      <c r="M44" s="51" t="s">
        <v>39</v>
      </c>
      <c r="N44" s="3" t="s">
        <v>40</v>
      </c>
      <c r="O44" s="46" t="s">
        <v>88</v>
      </c>
      <c r="P44" s="45" t="s">
        <v>1325</v>
      </c>
      <c r="Q44" s="45" t="s">
        <v>41</v>
      </c>
      <c r="R44" s="23" t="s">
        <v>90</v>
      </c>
      <c r="S44" s="30">
        <v>203600</v>
      </c>
      <c r="T44" s="2" t="s">
        <v>42</v>
      </c>
      <c r="U44" s="31">
        <v>0.1</v>
      </c>
      <c r="V44" s="31">
        <v>-3.8999999989999998</v>
      </c>
      <c r="W44" s="32">
        <v>0.04</v>
      </c>
      <c r="X44" s="33">
        <v>8144</v>
      </c>
    </row>
    <row r="45" spans="1:24" x14ac:dyDescent="0.3">
      <c r="A45" s="51" t="s">
        <v>1167</v>
      </c>
      <c r="B45" s="45" t="s">
        <v>1169</v>
      </c>
      <c r="C45" s="45" t="s">
        <v>226</v>
      </c>
      <c r="D45" s="45" t="s">
        <v>1210</v>
      </c>
      <c r="E45" s="45" t="s">
        <v>1250</v>
      </c>
      <c r="F45" s="24" t="str">
        <f>HYPERLINK("https://mapwv.gov/flood/map/?wkid=102100&amp;x=-8829740.993747419&amp;y=4673028.0180939725&amp;l=13&amp;v=2","FT")</f>
        <v>FT</v>
      </c>
      <c r="G45" s="29" t="s">
        <v>1253</v>
      </c>
      <c r="H45" s="29" t="s">
        <v>24</v>
      </c>
      <c r="I45" s="45" t="s">
        <v>1286</v>
      </c>
      <c r="J45" s="51" t="s">
        <v>38</v>
      </c>
      <c r="K45" s="46" t="s">
        <v>78</v>
      </c>
      <c r="L45" s="44" t="s">
        <v>55</v>
      </c>
      <c r="M45" s="51" t="s">
        <v>45</v>
      </c>
      <c r="N45" s="3" t="s">
        <v>34</v>
      </c>
      <c r="O45" s="46" t="s">
        <v>87</v>
      </c>
      <c r="P45" s="45" t="s">
        <v>1326</v>
      </c>
      <c r="Q45" s="45" t="s">
        <v>29</v>
      </c>
      <c r="R45" s="23" t="s">
        <v>89</v>
      </c>
      <c r="S45" s="30">
        <v>203200</v>
      </c>
      <c r="T45" s="2" t="s">
        <v>42</v>
      </c>
      <c r="U45" s="31">
        <v>4.8276367000000002</v>
      </c>
      <c r="V45" s="31">
        <v>3.827636719</v>
      </c>
      <c r="W45" s="32">
        <v>0.17655273439999999</v>
      </c>
      <c r="X45" s="33">
        <v>35875.515630000002</v>
      </c>
    </row>
    <row r="46" spans="1:24" x14ac:dyDescent="0.3">
      <c r="A46" s="51" t="s">
        <v>1168</v>
      </c>
      <c r="B46" s="45" t="s">
        <v>1170</v>
      </c>
      <c r="C46" s="45" t="s">
        <v>226</v>
      </c>
      <c r="D46" s="45" t="s">
        <v>1211</v>
      </c>
      <c r="E46" s="45" t="s">
        <v>1251</v>
      </c>
      <c r="F46" s="24" t="str">
        <f>HYPERLINK("https://mapwv.gov/flood/map/?wkid=102100&amp;x=-8830997.90456699&amp;y=4670328.57208893&amp;l=13&amp;v=2","FT")</f>
        <v>FT</v>
      </c>
      <c r="G46" s="29" t="s">
        <v>31</v>
      </c>
      <c r="H46" s="29" t="s">
        <v>24</v>
      </c>
      <c r="I46" s="45" t="s">
        <v>1287</v>
      </c>
      <c r="J46" s="51" t="s">
        <v>38</v>
      </c>
      <c r="K46" s="46" t="s">
        <v>130</v>
      </c>
      <c r="L46" s="44" t="s">
        <v>26</v>
      </c>
      <c r="M46" s="51" t="s">
        <v>61</v>
      </c>
      <c r="N46" s="3" t="s">
        <v>34</v>
      </c>
      <c r="O46" s="46" t="s">
        <v>88</v>
      </c>
      <c r="P46" s="45" t="s">
        <v>1327</v>
      </c>
      <c r="Q46" s="45" t="s">
        <v>29</v>
      </c>
      <c r="R46" s="23" t="s">
        <v>89</v>
      </c>
      <c r="S46" s="30">
        <v>202100</v>
      </c>
      <c r="T46" s="2" t="s">
        <v>42</v>
      </c>
      <c r="U46" s="31">
        <v>2.3288574</v>
      </c>
      <c r="V46" s="31">
        <v>1.328857422</v>
      </c>
      <c r="W46" s="32">
        <v>5.9865722659999995E-2</v>
      </c>
      <c r="X46" s="33">
        <v>12098.86255</v>
      </c>
    </row>
  </sheetData>
  <conditionalFormatting sqref="A7:A46">
    <cfRule type="duplicateValues" dxfId="1" priority="1"/>
    <cfRule type="duplicateValues" dxfId="0" priority="2"/>
  </conditionalFormatting>
  <hyperlinks>
    <hyperlink ref="J3" r:id="rId1" xr:uid="{36BAA30E-9407-4982-B2E5-88B2EA12A5CA}"/>
    <hyperlink ref="M3" r:id="rId2" xr:uid="{9C8E75E2-1DE1-4B25-9C98-3299BE013A53}"/>
    <hyperlink ref="Q3" r:id="rId3" xr:uid="{028B0679-BCD8-4A21-85F4-BE88DBBB2122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CC7BF-5422-428C-91A7-C5A251100F67}">
  <dimension ref="B1:G22"/>
  <sheetViews>
    <sheetView workbookViewId="0">
      <selection activeCell="I19" sqref="I19"/>
    </sheetView>
  </sheetViews>
  <sheetFormatPr defaultRowHeight="14.4" x14ac:dyDescent="0.3"/>
  <cols>
    <col min="2" max="2" width="12.33203125" style="49" bestFit="1" customWidth="1"/>
    <col min="3" max="3" width="8.88671875" style="49"/>
    <col min="4" max="4" width="45.109375" style="49" bestFit="1" customWidth="1"/>
    <col min="5" max="5" width="8.88671875" style="49"/>
    <col min="6" max="6" width="9.44140625" style="49" bestFit="1" customWidth="1"/>
    <col min="7" max="7" width="9.77734375" style="49" bestFit="1" customWidth="1"/>
  </cols>
  <sheetData>
    <row r="1" spans="2:7" x14ac:dyDescent="0.3">
      <c r="G1" s="34" t="s">
        <v>1328</v>
      </c>
    </row>
    <row r="2" spans="2:7" ht="36" x14ac:dyDescent="0.3">
      <c r="B2" s="37" t="s">
        <v>1</v>
      </c>
      <c r="C2" s="37" t="s">
        <v>5</v>
      </c>
      <c r="D2" s="37" t="s">
        <v>113</v>
      </c>
      <c r="E2" s="38" t="s">
        <v>12</v>
      </c>
      <c r="F2" s="35" t="s">
        <v>13</v>
      </c>
      <c r="G2" s="36" t="s">
        <v>18</v>
      </c>
    </row>
    <row r="3" spans="2:7" x14ac:dyDescent="0.3">
      <c r="B3" s="48" t="s">
        <v>1331</v>
      </c>
      <c r="C3" s="41" t="str">
        <f>HYPERLINK("https://mapwv.gov/flood/map/?wkid=102100&amp;x=-8776402.749205623&amp;y=4803088.001773762&amp;l=13&amp;v=2","FT")</f>
        <v>FT</v>
      </c>
      <c r="D3" s="48" t="s">
        <v>1019</v>
      </c>
      <c r="E3" s="48" t="s">
        <v>33</v>
      </c>
      <c r="F3" s="42" t="s">
        <v>34</v>
      </c>
      <c r="G3" s="43">
        <v>40000000</v>
      </c>
    </row>
    <row r="4" spans="2:7" x14ac:dyDescent="0.3">
      <c r="B4" s="48" t="s">
        <v>1329</v>
      </c>
      <c r="C4" s="41" t="str">
        <f>HYPERLINK("https://mapwv.gov/flood/map/?wkid=102100&amp;x=-8792928.548846833&amp;y=4783343.419342185&amp;l=13&amp;v=2","FT")</f>
        <v>FT</v>
      </c>
      <c r="D4" s="48" t="s">
        <v>834</v>
      </c>
      <c r="E4" s="48" t="s">
        <v>58</v>
      </c>
      <c r="F4" s="42" t="s">
        <v>28</v>
      </c>
      <c r="G4" s="43">
        <v>13500000</v>
      </c>
    </row>
    <row r="5" spans="2:7" x14ac:dyDescent="0.3">
      <c r="B5" s="48" t="s">
        <v>1329</v>
      </c>
      <c r="C5" s="41" t="str">
        <f>HYPERLINK("https://mapwv.gov/flood/map/?wkid=102100&amp;x=-8793027.639001006&amp;y=4782930.004748998&amp;l=13&amp;v=2","FT")</f>
        <v>FT</v>
      </c>
      <c r="D5" s="48" t="s">
        <v>57</v>
      </c>
      <c r="E5" s="48" t="s">
        <v>58</v>
      </c>
      <c r="F5" s="42" t="s">
        <v>28</v>
      </c>
      <c r="G5" s="43">
        <v>7994200</v>
      </c>
    </row>
    <row r="6" spans="2:7" x14ac:dyDescent="0.3">
      <c r="B6" s="48" t="s">
        <v>1331</v>
      </c>
      <c r="C6" s="41" t="str">
        <f>HYPERLINK("https://mapwv.gov/flood/map/?wkid=102100&amp;x=-8794535.527404943&amp;y=4780478.667972763&amp;l=13&amp;v=2","FT")</f>
        <v>FT</v>
      </c>
      <c r="D6" s="48" t="s">
        <v>1020</v>
      </c>
      <c r="E6" s="48" t="s">
        <v>1071</v>
      </c>
      <c r="F6" s="42" t="s">
        <v>34</v>
      </c>
      <c r="G6" s="43">
        <v>7038600</v>
      </c>
    </row>
    <row r="7" spans="2:7" x14ac:dyDescent="0.3">
      <c r="B7" s="48" t="s">
        <v>1331</v>
      </c>
      <c r="C7" s="41" t="str">
        <f>HYPERLINK("https://mapwv.gov/flood/map/?wkid=102100&amp;x=-8795513.631324058&amp;y=4779332.565672272&amp;l=13&amp;v=2","FT")</f>
        <v>FT</v>
      </c>
      <c r="D7" s="48" t="s">
        <v>778</v>
      </c>
      <c r="E7" s="48" t="s">
        <v>45</v>
      </c>
      <c r="F7" s="42" t="s">
        <v>34</v>
      </c>
      <c r="G7" s="43">
        <v>5708900</v>
      </c>
    </row>
    <row r="8" spans="2:7" x14ac:dyDescent="0.3">
      <c r="B8" s="48" t="s">
        <v>1329</v>
      </c>
      <c r="C8" s="41" t="str">
        <f>HYPERLINK("https://mapwv.gov/flood/map/?wkid=102100&amp;x=-8792871.058452416&amp;y=4783116.222295489&amp;l=13&amp;v=2","FT")</f>
        <v>FT</v>
      </c>
      <c r="D8" s="48" t="s">
        <v>838</v>
      </c>
      <c r="E8" s="48" t="s">
        <v>58</v>
      </c>
      <c r="F8" s="42" t="s">
        <v>28</v>
      </c>
      <c r="G8" s="43">
        <v>4100000</v>
      </c>
    </row>
    <row r="9" spans="2:7" x14ac:dyDescent="0.3">
      <c r="B9" s="48" t="s">
        <v>1331</v>
      </c>
      <c r="C9" s="41" t="str">
        <f>HYPERLINK("https://mapwv.gov/flood/map/?wkid=102100&amp;x=-8777285.358033516&amp;y=4802426.528965085&amp;l=13&amp;v=2","FT")</f>
        <v>FT</v>
      </c>
      <c r="D9" s="48" t="s">
        <v>1021</v>
      </c>
      <c r="E9" s="48" t="s">
        <v>33</v>
      </c>
      <c r="F9" s="42" t="s">
        <v>34</v>
      </c>
      <c r="G9" s="43">
        <v>2226200</v>
      </c>
    </row>
    <row r="10" spans="2:7" x14ac:dyDescent="0.3">
      <c r="B10" s="48" t="s">
        <v>1331</v>
      </c>
      <c r="C10" s="41" t="str">
        <f>HYPERLINK("https://mapwv.gov/flood/map/?wkid=102100&amp;x=-8793534.410296177&amp;y=4782768.093302073&amp;l=13&amp;v=2","FT")</f>
        <v>FT</v>
      </c>
      <c r="D10" s="48" t="s">
        <v>1022</v>
      </c>
      <c r="E10" s="48" t="s">
        <v>147</v>
      </c>
      <c r="F10" s="42" t="s">
        <v>34</v>
      </c>
      <c r="G10" s="43">
        <v>1536300</v>
      </c>
    </row>
    <row r="11" spans="2:7" x14ac:dyDescent="0.3">
      <c r="B11" s="48" t="s">
        <v>1329</v>
      </c>
      <c r="C11" s="41" t="str">
        <f>HYPERLINK("https://mapwv.gov/flood/map/?wkid=102100&amp;x=-8791266.98388586&amp;y=4784878.543726963&amp;l=13&amp;v=2","FT")</f>
        <v>FT</v>
      </c>
      <c r="D11" s="48" t="s">
        <v>1024</v>
      </c>
      <c r="E11" s="48" t="s">
        <v>27</v>
      </c>
      <c r="F11" s="42" t="s">
        <v>28</v>
      </c>
      <c r="G11" s="43">
        <v>1062870</v>
      </c>
    </row>
    <row r="12" spans="2:7" x14ac:dyDescent="0.3">
      <c r="B12" s="48" t="s">
        <v>1330</v>
      </c>
      <c r="C12" s="41" t="str">
        <f>HYPERLINK("https://mapwv.gov/flood/map/?wkid=102100&amp;x=-8799925.45785096&amp;y=4791023.048289277&amp;l=13&amp;v=2","FT")</f>
        <v>FT</v>
      </c>
      <c r="D12" s="48" t="s">
        <v>1025</v>
      </c>
      <c r="E12" s="48" t="s">
        <v>33</v>
      </c>
      <c r="F12" s="42" t="s">
        <v>34</v>
      </c>
      <c r="G12" s="43">
        <v>964100</v>
      </c>
    </row>
    <row r="13" spans="2:7" x14ac:dyDescent="0.3">
      <c r="B13" s="48" t="s">
        <v>1331</v>
      </c>
      <c r="C13" s="41" t="str">
        <f>HYPERLINK("https://mapwv.gov/flood/map/?wkid=102100&amp;x=-8795107.235923188&amp;y=4779429.586578224&amp;l=13&amp;v=2","FT")</f>
        <v>FT</v>
      </c>
      <c r="D13" s="48" t="s">
        <v>1026</v>
      </c>
      <c r="E13" s="48" t="s">
        <v>56</v>
      </c>
      <c r="F13" s="42" t="s">
        <v>28</v>
      </c>
      <c r="G13" s="43">
        <v>963400</v>
      </c>
    </row>
    <row r="14" spans="2:7" x14ac:dyDescent="0.3">
      <c r="B14" s="48" t="s">
        <v>1331</v>
      </c>
      <c r="C14" s="41" t="str">
        <f>HYPERLINK("https://mapwv.gov/flood/map/?wkid=102100&amp;x=-8793446.846273398&amp;y=4782393.729714487&amp;l=13&amp;v=2","FT")</f>
        <v>FT</v>
      </c>
      <c r="D14" s="48" t="s">
        <v>1027</v>
      </c>
      <c r="E14" s="48" t="s">
        <v>27</v>
      </c>
      <c r="F14" s="42" t="s">
        <v>28</v>
      </c>
      <c r="G14" s="43">
        <v>929600</v>
      </c>
    </row>
    <row r="15" spans="2:7" x14ac:dyDescent="0.3">
      <c r="B15" s="48" t="s">
        <v>1329</v>
      </c>
      <c r="C15" s="41" t="str">
        <f>HYPERLINK("https://mapwv.gov/flood/map/?wkid=102100&amp;x=-8791581.79340207&amp;y=4784875.330374396&amp;l=13&amp;v=2","FT")</f>
        <v>FT</v>
      </c>
      <c r="D15" s="48" t="s">
        <v>1028</v>
      </c>
      <c r="E15" s="48" t="s">
        <v>56</v>
      </c>
      <c r="F15" s="42" t="s">
        <v>28</v>
      </c>
      <c r="G15" s="43">
        <v>877010</v>
      </c>
    </row>
    <row r="16" spans="2:7" x14ac:dyDescent="0.3">
      <c r="B16" s="48" t="s">
        <v>1331</v>
      </c>
      <c r="C16" s="41" t="str">
        <f>HYPERLINK("https://mapwv.gov/flood/map/?wkid=102100&amp;x=-8784681.260582939&amp;y=4770226.789739461&amp;l=13&amp;v=2","FT")</f>
        <v>FT</v>
      </c>
      <c r="D16" s="48" t="s">
        <v>1029</v>
      </c>
      <c r="E16" s="48" t="s">
        <v>27</v>
      </c>
      <c r="F16" s="42" t="s">
        <v>28</v>
      </c>
      <c r="G16" s="43">
        <v>634500</v>
      </c>
    </row>
    <row r="17" spans="2:7" x14ac:dyDescent="0.3">
      <c r="B17" s="48" t="s">
        <v>1331</v>
      </c>
      <c r="C17" s="41" t="str">
        <f>HYPERLINK("https://mapwv.gov/flood/map/?wkid=102100&amp;x=-8767023.061640512&amp;y=4795492.94099701&amp;l=13&amp;v=2","FT")</f>
        <v>FT</v>
      </c>
      <c r="D17" s="48" t="s">
        <v>1030</v>
      </c>
      <c r="E17" s="48" t="s">
        <v>56</v>
      </c>
      <c r="F17" s="42" t="s">
        <v>28</v>
      </c>
      <c r="G17" s="43">
        <v>619760</v>
      </c>
    </row>
    <row r="18" spans="2:7" x14ac:dyDescent="0.3">
      <c r="B18" s="48" t="s">
        <v>1331</v>
      </c>
      <c r="C18" s="41" t="str">
        <f>HYPERLINK("https://mapwv.gov/flood/map/?wkid=102100&amp;x=-8784759.097174648&amp;y=4770218.442992331&amp;l=13&amp;v=2","FT")</f>
        <v>FT</v>
      </c>
      <c r="D18" s="48" t="s">
        <v>1031</v>
      </c>
      <c r="E18" s="48" t="s">
        <v>45</v>
      </c>
      <c r="F18" s="42" t="s">
        <v>34</v>
      </c>
      <c r="G18" s="43">
        <v>603700</v>
      </c>
    </row>
    <row r="19" spans="2:7" x14ac:dyDescent="0.3">
      <c r="B19" s="48" t="s">
        <v>1331</v>
      </c>
      <c r="C19" s="41" t="str">
        <f>HYPERLINK("https://mapwv.gov/flood/map/?wkid=102100&amp;x=-8783675.296734858&amp;y=4769938.251583621&amp;l=13&amp;v=2","FT")</f>
        <v>FT</v>
      </c>
      <c r="D19" s="48" t="s">
        <v>1032</v>
      </c>
      <c r="E19" s="48" t="s">
        <v>62</v>
      </c>
      <c r="F19" s="42" t="s">
        <v>28</v>
      </c>
      <c r="G19" s="43">
        <v>571520</v>
      </c>
    </row>
    <row r="20" spans="2:7" x14ac:dyDescent="0.3">
      <c r="B20" s="48" t="s">
        <v>1329</v>
      </c>
      <c r="C20" s="41" t="str">
        <f>HYPERLINK("https://mapwv.gov/flood/map/?wkid=102100&amp;x=-8791463.499522544&amp;y=4784893.504791809&amp;l=13&amp;v=2","FT")</f>
        <v>FT</v>
      </c>
      <c r="D20" s="48" t="s">
        <v>1033</v>
      </c>
      <c r="E20" s="48" t="s">
        <v>147</v>
      </c>
      <c r="F20" s="42" t="s">
        <v>34</v>
      </c>
      <c r="G20" s="43">
        <v>553500</v>
      </c>
    </row>
    <row r="21" spans="2:7" x14ac:dyDescent="0.3">
      <c r="B21" s="48" t="s">
        <v>1331</v>
      </c>
      <c r="C21" s="41" t="str">
        <f>HYPERLINK("https://mapwv.gov/flood/map/?wkid=102100&amp;x=-8784623.287507199&amp;y=4770243.136810015&amp;l=13&amp;v=2","FT")</f>
        <v>FT</v>
      </c>
      <c r="D21" s="48" t="s">
        <v>1029</v>
      </c>
      <c r="E21" s="48" t="s">
        <v>27</v>
      </c>
      <c r="F21" s="42" t="s">
        <v>28</v>
      </c>
      <c r="G21" s="43">
        <v>532400</v>
      </c>
    </row>
    <row r="22" spans="2:7" x14ac:dyDescent="0.3">
      <c r="B22" s="50" t="s">
        <v>166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GRANT</vt:lpstr>
      <vt:lpstr>HAMPSHIRE</vt:lpstr>
      <vt:lpstr>HARDY</vt:lpstr>
      <vt:lpstr>MINERAL</vt:lpstr>
      <vt:lpstr>PENDLETON</vt:lpstr>
      <vt:lpstr>MINERAL (NON_RES &gt; 500K)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Maneesh Sharma</dc:creator>
  <cp:lastModifiedBy>Behrang Bidadian </cp:lastModifiedBy>
  <dcterms:created xsi:type="dcterms:W3CDTF">2021-08-18T19:44:08Z</dcterms:created>
  <dcterms:modified xsi:type="dcterms:W3CDTF">2022-01-25T15:54:07Z</dcterms:modified>
</cp:coreProperties>
</file>